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80" windowHeight="7890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créances'!$A$1:$I$193</definedName>
  </definedNames>
  <calcPr fullCalcOnLoad="1"/>
</workbook>
</file>

<file path=xl/sharedStrings.xml><?xml version="1.0" encoding="utf-8"?>
<sst xmlns="http://schemas.openxmlformats.org/spreadsheetml/2006/main" count="181" uniqueCount="139">
  <si>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</si>
  <si>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</si>
  <si>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</si>
  <si>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</si>
  <si>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</si>
  <si>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</si>
  <si>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</si>
  <si>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</si>
  <si>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</si>
  <si>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</si>
  <si>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</si>
  <si>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</si>
  <si>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</si>
  <si>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</si>
  <si>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</si>
  <si>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</si>
  <si>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</si>
  <si>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</si>
  <si>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</si>
  <si>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</si>
  <si>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</si>
  <si>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</si>
  <si>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</si>
  <si>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</si>
  <si>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</si>
  <si>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</si>
  <si>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</si>
  <si>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</si>
  <si>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</si>
  <si>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</si>
  <si>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</si>
  <si>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</si>
  <si>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</si>
  <si>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</si>
  <si>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</si>
  <si>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</si>
  <si>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</si>
  <si>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</si>
  <si>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</si>
  <si>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</si>
  <si>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</si>
  <si>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</si>
  <si>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</si>
  <si>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</si>
  <si>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</si>
  <si>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</si>
  <si>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</si>
  <si>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</si>
  <si>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</si>
  <si>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</si>
  <si>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</si>
  <si>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</si>
  <si>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</si>
  <si>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</si>
  <si>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</si>
  <si>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</si>
  <si>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</si>
  <si>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</si>
  <si>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</si>
  <si>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</si>
  <si>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</si>
  <si>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</si>
  <si>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</si>
  <si>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</si>
  <si>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</si>
  <si>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</si>
  <si>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</si>
  <si>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</si>
  <si>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</si>
  <si>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</si>
  <si>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</si>
  <si>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</si>
  <si>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</si>
  <si>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</si>
  <si>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</si>
  <si>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</si>
  <si>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</si>
  <si>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</si>
  <si>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</si>
  <si>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</si>
  <si>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</si>
  <si>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</si>
  <si>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</si>
  <si>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</si>
  <si>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</si>
  <si>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</si>
  <si>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</si>
  <si>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</si>
  <si>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</si>
  <si>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</si>
  <si>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</si>
  <si>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</si>
  <si>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</si>
  <si>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</si>
  <si>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</si>
  <si>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</si>
  <si>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</si>
  <si>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</si>
  <si>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</si>
  <si>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</si>
  <si>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</si>
  <si>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</si>
  <si>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</si>
  <si>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</si>
  <si>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</si>
  <si>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</si>
  <si>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</si>
  <si>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</si>
  <si>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</si>
  <si>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</si>
  <si>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</si>
  <si>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</si>
  <si>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</si>
  <si>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</si>
  <si>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</si>
  <si>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</si>
  <si>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</si>
  <si>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</si>
  <si>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</si>
  <si>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</si>
  <si>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</si>
  <si>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</si>
  <si>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</si>
  <si>
    <t xml:space="preserve">         Février</t>
  </si>
  <si>
    <t xml:space="preserve">2015  Février  </t>
  </si>
  <si>
    <t>2015 Mars</t>
  </si>
  <si>
    <t>2017 Mars</t>
  </si>
  <si>
    <t>II.14</t>
  </si>
  <si>
    <t>2015 Avril</t>
  </si>
  <si>
    <t>2015 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</si>
  <si>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</si>
  <si>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</si>
  <si>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</si>
  <si>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</si>
  <si>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</si>
  <si>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</si>
  <si>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</si>
  <si>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</si>
  <si>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2016 Février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</si>
</sst>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9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3" xfId="42" applyNumberFormat="1" applyFont="1" applyFill="1" applyBorder="1" applyAlignment="1">
      <alignment horizontal="right"/>
    </xf>
    <xf numFmtId="184" fontId="2" fillId="0" borderId="13" xfId="42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Neutral" xfId="56"/>
    <cellStyle name="Note" xfId="57"/>
    <cellStyle name="Output" xfId="58"/>
    <cellStyle name="Percent" xfId="59"/>
    <cellStyle name="Pourcentage 2" xfId="60"/>
    <cellStyle name="Pourcentage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GridLines="0"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6" sqref="A136:IV163"/>
    </sheetView>
  </sheetViews>
  <sheetFormatPr defaultColWidth="11.42187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0.8515625" style="5" customWidth="1"/>
    <col min="11" max="11" width="23.28125" style="5" customWidth="1"/>
    <col min="12" max="12" width="22.140625" style="5" customWidth="1"/>
    <col min="13" max="16384" width="11.42187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127</v>
      </c>
      <c r="J1" s="4"/>
    </row>
    <row r="2" spans="1:10" ht="19.5">
      <c r="A2" s="10" t="s">
        <v>118</v>
      </c>
      <c r="B2" s="58" t="s">
        <v>43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52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119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64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61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 hidden="1">
      <c r="A24" s="49" t="s">
        <v>60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59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76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104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 aca="true" t="shared" si="4" ref="H27:I29">B27+D27+F27</f>
        <v>659677.3</v>
      </c>
      <c r="I27" s="37">
        <f t="shared" si="4"/>
        <v>141422.1</v>
      </c>
      <c r="J27" s="36"/>
      <c r="K27" s="40"/>
      <c r="L27" s="40"/>
    </row>
    <row r="28" spans="1:12" s="41" customFormat="1" ht="19.5">
      <c r="A28" s="49" t="s">
        <v>121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 t="shared" si="4"/>
        <v>644679.7</v>
      </c>
      <c r="I28" s="37">
        <f t="shared" si="4"/>
        <v>167097.69999999998</v>
      </c>
      <c r="J28" s="36"/>
      <c r="K28" s="40"/>
      <c r="L28" s="40"/>
    </row>
    <row r="29" spans="1:12" s="41" customFormat="1" ht="19.5" hidden="1">
      <c r="A29" s="49" t="s">
        <v>135</v>
      </c>
      <c r="B29" s="37">
        <f>427044.7-9513.5-17254.1-62926.5</f>
        <v>337350.60000000003</v>
      </c>
      <c r="C29" s="37">
        <f>9513.5+17254.1+62926.5</f>
        <v>89694.1</v>
      </c>
      <c r="D29" s="37">
        <f>218122.5-14394.9-1193.1-1403.2</f>
        <v>201131.3</v>
      </c>
      <c r="E29" s="37">
        <f>14394.9+1193.1+1403.2</f>
        <v>16991.2</v>
      </c>
      <c r="F29" s="37">
        <f>153032.9-2914.3-3052.6-3118.1</f>
        <v>143947.9</v>
      </c>
      <c r="G29" s="37">
        <f>2914.3+3052.6+3118.1</f>
        <v>9085</v>
      </c>
      <c r="H29" s="37">
        <f t="shared" si="4"/>
        <v>682429.8</v>
      </c>
      <c r="I29" s="37">
        <f t="shared" si="4"/>
        <v>115770.3</v>
      </c>
      <c r="J29" s="36"/>
      <c r="K29" s="40"/>
      <c r="L29" s="40"/>
    </row>
    <row r="30" spans="1:12" s="41" customFormat="1" ht="19.5">
      <c r="A30" s="49" t="s">
        <v>135</v>
      </c>
      <c r="B30" s="37">
        <f>427044.7-9513.5-17254.1-62926.5</f>
        <v>337350.60000000003</v>
      </c>
      <c r="C30" s="37">
        <f>9513.5+17254.1+62926.5</f>
        <v>89694.1</v>
      </c>
      <c r="D30" s="37">
        <f>218122.5-14394.9-1193.1-1403.2</f>
        <v>201131.3</v>
      </c>
      <c r="E30" s="37">
        <f>14394.9+1193.1+1403.2</f>
        <v>16991.2</v>
      </c>
      <c r="F30" s="37">
        <f>153032.9-2914.3-3052.6-3118.1</f>
        <v>143947.9</v>
      </c>
      <c r="G30" s="37">
        <f>2914.3+3052.6+3118.1</f>
        <v>9085</v>
      </c>
      <c r="H30" s="37">
        <f>B30+D30+F30</f>
        <v>682429.8</v>
      </c>
      <c r="I30" s="37">
        <f>C30+E30+G30</f>
        <v>115770.3</v>
      </c>
      <c r="J30" s="39"/>
      <c r="K30" s="40"/>
      <c r="L30" s="40"/>
    </row>
    <row r="31" spans="1:12" s="41" customFormat="1" ht="19.5" hidden="1">
      <c r="A31" s="35"/>
      <c r="B31" s="37"/>
      <c r="C31" s="52"/>
      <c r="D31" s="37"/>
      <c r="E31" s="38"/>
      <c r="F31" s="37"/>
      <c r="G31" s="38"/>
      <c r="H31" s="37"/>
      <c r="I31" s="37"/>
      <c r="J31" s="39"/>
      <c r="K31" s="40"/>
      <c r="L31" s="40"/>
    </row>
    <row r="32" spans="1:12" s="41" customFormat="1" ht="19.5" hidden="1">
      <c r="A32" s="35" t="s">
        <v>39</v>
      </c>
      <c r="B32" s="37">
        <v>208747.6</v>
      </c>
      <c r="C32" s="52">
        <v>42392.2</v>
      </c>
      <c r="D32" s="37">
        <v>124532.5</v>
      </c>
      <c r="E32" s="38">
        <v>3433.8</v>
      </c>
      <c r="F32" s="37">
        <v>11210.4</v>
      </c>
      <c r="G32" s="38">
        <v>87.6</v>
      </c>
      <c r="H32" s="37">
        <v>344490.5</v>
      </c>
      <c r="I32" s="37">
        <v>45913.6</v>
      </c>
      <c r="J32" s="39"/>
      <c r="K32" s="40"/>
      <c r="L32" s="40"/>
    </row>
    <row r="33" spans="1:12" s="41" customFormat="1" ht="19.5" hidden="1">
      <c r="A33" s="35" t="s">
        <v>46</v>
      </c>
      <c r="B33" s="37">
        <v>239504.9</v>
      </c>
      <c r="C33" s="52">
        <v>39076.8</v>
      </c>
      <c r="D33" s="37">
        <v>138300.6</v>
      </c>
      <c r="E33" s="38">
        <v>2546.2</v>
      </c>
      <c r="F33" s="37">
        <v>13708.4</v>
      </c>
      <c r="G33" s="38">
        <v>101.5</v>
      </c>
      <c r="H33" s="37">
        <f>B33+D33+F33</f>
        <v>391513.9</v>
      </c>
      <c r="I33" s="37">
        <f>C33+E33+G33</f>
        <v>41724.5</v>
      </c>
      <c r="J33" s="36"/>
      <c r="K33" s="40"/>
      <c r="L33" s="40"/>
    </row>
    <row r="34" spans="1:12" s="41" customFormat="1" ht="19.5" hidden="1">
      <c r="A34" s="35"/>
      <c r="B34" s="37"/>
      <c r="C34" s="52"/>
      <c r="D34" s="37"/>
      <c r="E34" s="38"/>
      <c r="F34" s="37"/>
      <c r="G34" s="38"/>
      <c r="H34" s="37"/>
      <c r="I34" s="37"/>
      <c r="J34" s="36"/>
      <c r="K34" s="40"/>
      <c r="L34" s="40"/>
    </row>
    <row r="35" spans="1:12" s="41" customFormat="1" ht="19.5" hidden="1">
      <c r="A35" s="35" t="s">
        <v>55</v>
      </c>
      <c r="B35" s="37">
        <v>335552.8</v>
      </c>
      <c r="C35" s="52">
        <v>37268.2</v>
      </c>
      <c r="D35" s="37">
        <v>168503.6</v>
      </c>
      <c r="E35" s="38">
        <v>2852.1</v>
      </c>
      <c r="F35" s="37">
        <v>20141.2</v>
      </c>
      <c r="G35" s="38">
        <v>191.4</v>
      </c>
      <c r="H35" s="37">
        <f>B35+D35+F35</f>
        <v>524197.60000000003</v>
      </c>
      <c r="I35" s="37">
        <f>C35+E35+G35</f>
        <v>40311.7</v>
      </c>
      <c r="J35" s="36"/>
      <c r="K35" s="40"/>
      <c r="L35" s="40"/>
    </row>
    <row r="36" spans="1:12" s="41" customFormat="1" ht="19.5" hidden="1">
      <c r="A36" s="35"/>
      <c r="B36" s="37"/>
      <c r="C36" s="52"/>
      <c r="D36" s="37"/>
      <c r="E36" s="38"/>
      <c r="F36" s="37"/>
      <c r="G36" s="38"/>
      <c r="H36" s="37"/>
      <c r="I36" s="37"/>
      <c r="J36" s="36"/>
      <c r="K36" s="40"/>
      <c r="L36" s="40"/>
    </row>
    <row r="37" spans="1:12" s="41" customFormat="1" ht="19.5" hidden="1">
      <c r="A37" s="35" t="s">
        <v>102</v>
      </c>
      <c r="B37" s="37">
        <v>375660.7</v>
      </c>
      <c r="C37" s="52">
        <v>41448.6</v>
      </c>
      <c r="D37" s="37">
        <v>181820.6</v>
      </c>
      <c r="E37" s="38">
        <v>13991.8</v>
      </c>
      <c r="F37" s="37">
        <v>37766.1</v>
      </c>
      <c r="G37" s="38">
        <v>1072.9</v>
      </c>
      <c r="H37" s="37">
        <f>B37+D37+F37</f>
        <v>595247.4</v>
      </c>
      <c r="I37" s="37">
        <f>C37+E37+G37</f>
        <v>56513.299999999996</v>
      </c>
      <c r="J37" s="36"/>
      <c r="K37" s="40"/>
      <c r="L37" s="40"/>
    </row>
    <row r="38" spans="1:12" s="41" customFormat="1" ht="19.5" hidden="1">
      <c r="A38" s="35" t="s">
        <v>108</v>
      </c>
      <c r="B38" s="37">
        <v>386816.89999999997</v>
      </c>
      <c r="C38" s="52">
        <v>49632.5</v>
      </c>
      <c r="D38" s="36">
        <v>183549.1</v>
      </c>
      <c r="E38" s="37">
        <v>15072.2</v>
      </c>
      <c r="F38" s="37">
        <v>44059</v>
      </c>
      <c r="G38" s="38">
        <v>1328</v>
      </c>
      <c r="H38" s="37">
        <v>614425</v>
      </c>
      <c r="I38" s="37">
        <v>66032.7</v>
      </c>
      <c r="J38" s="36"/>
      <c r="K38" s="40"/>
      <c r="L38" s="40"/>
    </row>
    <row r="39" spans="1:12" s="41" customFormat="1" ht="19.5" hidden="1">
      <c r="A39" s="35" t="s">
        <v>112</v>
      </c>
      <c r="B39" s="37">
        <v>392023.10000000003</v>
      </c>
      <c r="C39" s="52">
        <v>51399.4</v>
      </c>
      <c r="D39" s="37">
        <v>192071.1</v>
      </c>
      <c r="E39" s="38">
        <v>15989.7</v>
      </c>
      <c r="F39" s="37">
        <v>34722.2</v>
      </c>
      <c r="G39" s="38">
        <v>1291.4</v>
      </c>
      <c r="H39" s="37">
        <f>B39+D39+F39</f>
        <v>618816.4</v>
      </c>
      <c r="I39" s="37">
        <f>C39+E39+G39</f>
        <v>68680.5</v>
      </c>
      <c r="J39" s="36"/>
      <c r="K39" s="40"/>
      <c r="L39" s="40"/>
    </row>
    <row r="40" spans="1:12" s="41" customFormat="1" ht="19.5" hidden="1">
      <c r="A40" s="35" t="s">
        <v>98</v>
      </c>
      <c r="B40" s="37">
        <v>387965.2</v>
      </c>
      <c r="C40" s="52">
        <v>51333.3</v>
      </c>
      <c r="D40" s="37">
        <v>204841.8</v>
      </c>
      <c r="E40" s="38">
        <v>18712.6</v>
      </c>
      <c r="F40" s="37">
        <v>50032.6</v>
      </c>
      <c r="G40" s="38">
        <v>1545.9</v>
      </c>
      <c r="H40" s="37">
        <v>642839.6</v>
      </c>
      <c r="I40" s="37">
        <v>71591.8</v>
      </c>
      <c r="J40" s="36"/>
      <c r="K40" s="40"/>
      <c r="L40" s="40"/>
    </row>
    <row r="41" spans="1:12" s="41" customFormat="1" ht="19.5" hidden="1">
      <c r="A41" s="35" t="s">
        <v>101</v>
      </c>
      <c r="B41" s="37">
        <v>368888.5</v>
      </c>
      <c r="C41" s="52">
        <v>51587.7</v>
      </c>
      <c r="D41" s="37">
        <v>204539.7</v>
      </c>
      <c r="E41" s="38">
        <v>18513.8</v>
      </c>
      <c r="F41" s="37">
        <v>55677.6</v>
      </c>
      <c r="G41" s="38">
        <v>1092.2</v>
      </c>
      <c r="H41" s="37">
        <f>B41+D41+F41</f>
        <v>629105.7999999999</v>
      </c>
      <c r="I41" s="37">
        <f>C41+E41+G41</f>
        <v>71193.7</v>
      </c>
      <c r="J41" s="36"/>
      <c r="K41" s="40"/>
      <c r="L41" s="40"/>
    </row>
    <row r="42" spans="1:12" s="41" customFormat="1" ht="19.5" hidden="1">
      <c r="A42" s="35"/>
      <c r="B42" s="37"/>
      <c r="C42" s="52"/>
      <c r="D42" s="37"/>
      <c r="E42" s="38"/>
      <c r="F42" s="37"/>
      <c r="G42" s="38"/>
      <c r="H42" s="37"/>
      <c r="I42" s="37"/>
      <c r="J42" s="36"/>
      <c r="K42" s="40"/>
      <c r="L42" s="40"/>
    </row>
    <row r="43" spans="1:12" s="41" customFormat="1" ht="19.5" hidden="1">
      <c r="A43" s="35" t="s">
        <v>93</v>
      </c>
      <c r="B43" s="37">
        <v>370708.3</v>
      </c>
      <c r="C43" s="52">
        <v>59422.4</v>
      </c>
      <c r="D43" s="37">
        <v>198876.4</v>
      </c>
      <c r="E43" s="38">
        <v>19390.3</v>
      </c>
      <c r="F43" s="37">
        <v>53754</v>
      </c>
      <c r="G43" s="38">
        <v>2068.3</v>
      </c>
      <c r="H43" s="37">
        <v>623338.7</v>
      </c>
      <c r="I43" s="37">
        <v>80880.9</v>
      </c>
      <c r="J43" s="36"/>
      <c r="K43" s="40"/>
      <c r="L43" s="40"/>
    </row>
    <row r="44" spans="1:12" s="41" customFormat="1" ht="19.5" hidden="1">
      <c r="A44" s="35" t="s">
        <v>78</v>
      </c>
      <c r="B44" s="37">
        <v>377354.4</v>
      </c>
      <c r="C44" s="52">
        <v>66648.9</v>
      </c>
      <c r="D44" s="37">
        <v>199654.7</v>
      </c>
      <c r="E44" s="38">
        <v>22154.9</v>
      </c>
      <c r="F44" s="37">
        <v>65572.8</v>
      </c>
      <c r="G44" s="38">
        <v>2934.7</v>
      </c>
      <c r="H44" s="37">
        <v>642581.9</v>
      </c>
      <c r="I44" s="37">
        <v>91738.5</v>
      </c>
      <c r="J44" s="36"/>
      <c r="K44" s="40"/>
      <c r="L44" s="40"/>
    </row>
    <row r="45" spans="1:12" s="41" customFormat="1" ht="19.5" hidden="1">
      <c r="A45" s="35" t="s">
        <v>115</v>
      </c>
      <c r="B45" s="37">
        <v>356247.8</v>
      </c>
      <c r="C45" s="52">
        <v>69056.4</v>
      </c>
      <c r="D45" s="37">
        <v>209685.7</v>
      </c>
      <c r="E45" s="38">
        <v>25548.8</v>
      </c>
      <c r="F45" s="37">
        <v>85454.1</v>
      </c>
      <c r="G45" s="38">
        <v>4946.4</v>
      </c>
      <c r="H45" s="37">
        <v>651387.6</v>
      </c>
      <c r="I45" s="37">
        <v>99551.6</v>
      </c>
      <c r="J45" s="36"/>
      <c r="K45" s="40"/>
      <c r="L45" s="40"/>
    </row>
    <row r="46" spans="1:12" s="41" customFormat="1" ht="19.5" hidden="1">
      <c r="A46" s="35" t="s">
        <v>120</v>
      </c>
      <c r="B46" s="37">
        <v>374417.8</v>
      </c>
      <c r="C46" s="52">
        <v>69744.9</v>
      </c>
      <c r="D46" s="37">
        <v>219611.2</v>
      </c>
      <c r="E46" s="38">
        <v>24871</v>
      </c>
      <c r="F46" s="37">
        <v>125842.5</v>
      </c>
      <c r="G46" s="38">
        <v>4060.4</v>
      </c>
      <c r="H46" s="37">
        <f>B46+D46+F46</f>
        <v>719871.5</v>
      </c>
      <c r="I46" s="37">
        <f>C46+E46+G46</f>
        <v>98676.29999999999</v>
      </c>
      <c r="J46" s="36"/>
      <c r="K46" s="40"/>
      <c r="L46" s="40"/>
    </row>
    <row r="47" spans="1:12" s="41" customFormat="1" ht="19.5">
      <c r="A47" s="35"/>
      <c r="B47" s="37"/>
      <c r="C47" s="52"/>
      <c r="D47" s="37"/>
      <c r="E47" s="38"/>
      <c r="F47" s="37"/>
      <c r="G47" s="38"/>
      <c r="H47" s="37"/>
      <c r="I47" s="37"/>
      <c r="J47" s="36"/>
      <c r="K47" s="40"/>
      <c r="L47" s="40"/>
    </row>
    <row r="48" spans="1:12" s="41" customFormat="1" ht="19.5">
      <c r="A48" s="35"/>
      <c r="B48" s="37"/>
      <c r="C48" s="52"/>
      <c r="D48" s="37"/>
      <c r="E48" s="38"/>
      <c r="F48" s="37"/>
      <c r="G48" s="38"/>
      <c r="H48" s="37"/>
      <c r="I48" s="37"/>
      <c r="J48" s="36"/>
      <c r="K48" s="40"/>
      <c r="L48" s="40"/>
    </row>
    <row r="49" spans="1:12" s="41" customFormat="1" ht="19.5">
      <c r="A49" s="35" t="s">
        <v>81</v>
      </c>
      <c r="B49" s="37">
        <v>357572.6</v>
      </c>
      <c r="C49" s="52">
        <v>70480.7</v>
      </c>
      <c r="D49" s="37">
        <v>249972.7</v>
      </c>
      <c r="E49" s="38">
        <v>24221.3</v>
      </c>
      <c r="F49" s="37">
        <v>96022.8</v>
      </c>
      <c r="G49" s="38">
        <v>4178.1</v>
      </c>
      <c r="H49" s="37">
        <v>703568.1</v>
      </c>
      <c r="I49" s="37">
        <v>98880.2</v>
      </c>
      <c r="J49" s="36"/>
      <c r="K49" s="40"/>
      <c r="L49" s="40"/>
    </row>
    <row r="50" spans="1:12" s="41" customFormat="1" ht="19.5">
      <c r="A50" s="35" t="s">
        <v>78</v>
      </c>
      <c r="B50" s="37">
        <v>375434.3</v>
      </c>
      <c r="C50" s="52">
        <v>75885.4</v>
      </c>
      <c r="D50" s="37">
        <v>233630.3</v>
      </c>
      <c r="E50" s="38">
        <v>29918.9</v>
      </c>
      <c r="F50" s="37">
        <v>97698.3</v>
      </c>
      <c r="G50" s="38">
        <v>7791.3</v>
      </c>
      <c r="H50" s="37">
        <v>706763</v>
      </c>
      <c r="I50" s="37">
        <v>113595.6</v>
      </c>
      <c r="J50" s="36"/>
      <c r="K50" s="40"/>
      <c r="L50" s="40"/>
    </row>
    <row r="51" spans="1:12" s="41" customFormat="1" ht="19.5">
      <c r="A51" s="35" t="s">
        <v>79</v>
      </c>
      <c r="B51" s="37">
        <v>372566.5</v>
      </c>
      <c r="C51" s="52">
        <v>82109.6</v>
      </c>
      <c r="D51" s="37">
        <v>232921.3</v>
      </c>
      <c r="E51" s="38">
        <v>29296.4</v>
      </c>
      <c r="F51" s="37">
        <v>96986.8</v>
      </c>
      <c r="G51" s="38">
        <v>11016.2</v>
      </c>
      <c r="H51" s="37">
        <v>702474.6</v>
      </c>
      <c r="I51" s="37">
        <v>122422.2</v>
      </c>
      <c r="J51" s="36"/>
      <c r="K51" s="40"/>
      <c r="L51" s="40"/>
    </row>
    <row r="52" spans="1:12" s="41" customFormat="1" ht="19.5">
      <c r="A52" s="35" t="s">
        <v>80</v>
      </c>
      <c r="B52" s="37">
        <f>447332.6-70161.5-30191-12389.1</f>
        <v>334591</v>
      </c>
      <c r="C52" s="52">
        <f>12389.1+30191+70161.5</f>
        <v>112741.6</v>
      </c>
      <c r="D52" s="37">
        <f>232038.2-14267.3-6629.2-845.3</f>
        <v>210296.40000000002</v>
      </c>
      <c r="E52" s="36">
        <f>14267.3+6629.2+845.3</f>
        <v>21741.8</v>
      </c>
      <c r="F52" s="37">
        <f>121728.6-2952.2-2107.3-1879.2</f>
        <v>114789.90000000001</v>
      </c>
      <c r="G52" s="37">
        <f>1879.2+2107.3+2952.2</f>
        <v>6938.7</v>
      </c>
      <c r="H52" s="37">
        <f>B52+D52+F52</f>
        <v>659677.3</v>
      </c>
      <c r="I52" s="37">
        <f>C52+E52+G52</f>
        <v>141422.1</v>
      </c>
      <c r="J52" s="36"/>
      <c r="K52" s="40"/>
      <c r="L52" s="40"/>
    </row>
    <row r="53" spans="1:12" s="41" customFormat="1" ht="19.5">
      <c r="A53" s="35"/>
      <c r="B53" s="37"/>
      <c r="C53" s="52"/>
      <c r="D53" s="37"/>
      <c r="E53" s="36"/>
      <c r="F53" s="37"/>
      <c r="G53" s="38"/>
      <c r="H53" s="37"/>
      <c r="I53" s="37"/>
      <c r="J53" s="36"/>
      <c r="K53" s="40"/>
      <c r="L53" s="40"/>
    </row>
    <row r="54" spans="1:12" s="41" customFormat="1" ht="19.5">
      <c r="A54" s="35" t="s">
        <v>107</v>
      </c>
      <c r="B54" s="37">
        <f>448532.9-82664.3-22962.8-10898.1</f>
        <v>332007.70000000007</v>
      </c>
      <c r="C54" s="52">
        <f>10898.1+22962.8+82664.3</f>
        <v>116525.20000000001</v>
      </c>
      <c r="D54" s="37">
        <f>235715.9-13664.8-6564.3-2479.2</f>
        <v>213007.6</v>
      </c>
      <c r="E54" s="36">
        <f>13664.8+6564.3+2479.2</f>
        <v>22708.3</v>
      </c>
      <c r="F54" s="37">
        <f>122935.7-3806.2-2068.4-1493</f>
        <v>115568.1</v>
      </c>
      <c r="G54" s="37">
        <f>3806.2+2068.4+1493</f>
        <v>7367.6</v>
      </c>
      <c r="H54" s="37">
        <f>B54+D54+F54</f>
        <v>660583.4</v>
      </c>
      <c r="I54" s="37">
        <f>C54+E54+G54</f>
        <v>146601.1</v>
      </c>
      <c r="J54" s="36"/>
      <c r="K54" s="40"/>
      <c r="L54" s="40"/>
    </row>
    <row r="55" spans="1:12" s="41" customFormat="1" ht="19.5">
      <c r="A55" s="35" t="s">
        <v>78</v>
      </c>
      <c r="B55" s="37">
        <f>452191.8-52264.6-26860.1-21198.6</f>
        <v>351868.50000000006</v>
      </c>
      <c r="C55" s="52">
        <f>21198.6+26860.1+52264.6</f>
        <v>100323.29999999999</v>
      </c>
      <c r="D55" s="37">
        <f>253196-33252.2-7488.4-3461.3</f>
        <v>208994.1</v>
      </c>
      <c r="E55" s="36">
        <f>3461.3+7488.4+33252.2</f>
        <v>44201.899999999994</v>
      </c>
      <c r="F55" s="37">
        <f>123720-4252.7-1779.8-3007.6</f>
        <v>114679.9</v>
      </c>
      <c r="G55" s="37">
        <f>3007.6+1779.8+4252.7</f>
        <v>9040.099999999999</v>
      </c>
      <c r="H55" s="37">
        <f>B55+D55+F55</f>
        <v>675542.5000000001</v>
      </c>
      <c r="I55" s="37">
        <f>C55+E55+G55</f>
        <v>153565.3</v>
      </c>
      <c r="J55" s="36"/>
      <c r="K55" s="40"/>
      <c r="L55" s="40"/>
    </row>
    <row r="56" spans="1:12" s="41" customFormat="1" ht="19.5" hidden="1">
      <c r="A56" s="35" t="s">
        <v>8</v>
      </c>
      <c r="B56" s="37">
        <v>125938.5</v>
      </c>
      <c r="C56" s="52">
        <v>36182.7</v>
      </c>
      <c r="D56" s="37">
        <v>58639.7</v>
      </c>
      <c r="E56" s="38">
        <v>3704</v>
      </c>
      <c r="F56" s="37">
        <v>5741.6</v>
      </c>
      <c r="G56" s="38">
        <v>987.8</v>
      </c>
      <c r="H56" s="37">
        <f aca="true" t="shared" si="5" ref="H56:I71">B56+D56+F56</f>
        <v>190319.80000000002</v>
      </c>
      <c r="I56" s="37">
        <f t="shared" si="5"/>
        <v>40874.5</v>
      </c>
      <c r="J56" s="36">
        <f>+H56+I56-'[1]crédits par secteur'!M36</f>
        <v>0</v>
      </c>
      <c r="K56" s="40"/>
      <c r="L56" s="40"/>
    </row>
    <row r="57" spans="1:12" s="41" customFormat="1" ht="19.5" hidden="1">
      <c r="A57" s="35" t="s">
        <v>13</v>
      </c>
      <c r="B57" s="37">
        <v>124761.1</v>
      </c>
      <c r="C57" s="52">
        <v>34535.2</v>
      </c>
      <c r="D57" s="37">
        <v>59739.6</v>
      </c>
      <c r="E57" s="38">
        <v>3672.1</v>
      </c>
      <c r="F57" s="37">
        <v>5911.9</v>
      </c>
      <c r="G57" s="38">
        <v>751.4</v>
      </c>
      <c r="H57" s="37">
        <f t="shared" si="5"/>
        <v>190412.6</v>
      </c>
      <c r="I57" s="37">
        <f t="shared" si="5"/>
        <v>38958.7</v>
      </c>
      <c r="J57" s="36">
        <f>+H57+I57-'[1]crédits par secteur'!M37</f>
        <v>0</v>
      </c>
      <c r="K57" s="40"/>
      <c r="L57" s="40"/>
    </row>
    <row r="58" spans="1:12" s="41" customFormat="1" ht="19.5" hidden="1">
      <c r="A58" s="35" t="s">
        <v>9</v>
      </c>
      <c r="B58" s="37">
        <v>128122.2</v>
      </c>
      <c r="C58" s="52">
        <v>35451.1</v>
      </c>
      <c r="D58" s="37">
        <v>61992.7</v>
      </c>
      <c r="E58" s="38">
        <v>3723.5</v>
      </c>
      <c r="F58" s="37">
        <v>6027.5</v>
      </c>
      <c r="G58" s="38">
        <v>926.1</v>
      </c>
      <c r="H58" s="37">
        <f t="shared" si="5"/>
        <v>196142.4</v>
      </c>
      <c r="I58" s="37">
        <f t="shared" si="5"/>
        <v>40100.7</v>
      </c>
      <c r="J58" s="36">
        <f>+H58+I58-'[1]crédits par secteur'!M38</f>
        <v>0</v>
      </c>
      <c r="K58" s="40"/>
      <c r="L58" s="40"/>
    </row>
    <row r="59" spans="1:12" s="41" customFormat="1" ht="19.5" hidden="1">
      <c r="A59" s="35" t="s">
        <v>15</v>
      </c>
      <c r="B59" s="37">
        <v>129093.2</v>
      </c>
      <c r="C59" s="52">
        <v>35952.7</v>
      </c>
      <c r="D59" s="37">
        <v>62440.5</v>
      </c>
      <c r="E59" s="38">
        <v>3914.9</v>
      </c>
      <c r="F59" s="37">
        <v>6182</v>
      </c>
      <c r="G59" s="38">
        <v>1042.6</v>
      </c>
      <c r="H59" s="37">
        <f t="shared" si="5"/>
        <v>197715.7</v>
      </c>
      <c r="I59" s="37">
        <f t="shared" si="5"/>
        <v>40910.2</v>
      </c>
      <c r="J59" s="36">
        <f>+H59+I59-'[1]crédits par secteur'!M39</f>
        <v>0</v>
      </c>
      <c r="K59" s="40"/>
      <c r="L59" s="40"/>
    </row>
    <row r="60" spans="1:12" s="41" customFormat="1" ht="19.5" hidden="1">
      <c r="A60" s="35" t="s">
        <v>16</v>
      </c>
      <c r="B60" s="37">
        <v>131570.7</v>
      </c>
      <c r="C60" s="52">
        <v>35504.6</v>
      </c>
      <c r="D60" s="37">
        <v>63105</v>
      </c>
      <c r="E60" s="38">
        <v>3956.2</v>
      </c>
      <c r="F60" s="37">
        <v>6201.3</v>
      </c>
      <c r="G60" s="38">
        <v>905.4</v>
      </c>
      <c r="H60" s="37">
        <f t="shared" si="5"/>
        <v>200877</v>
      </c>
      <c r="I60" s="37">
        <f t="shared" si="5"/>
        <v>40366.2</v>
      </c>
      <c r="J60" s="36">
        <f>+H60+I60-'[1]crédits par secteur'!M40</f>
        <v>0</v>
      </c>
      <c r="K60" s="40"/>
      <c r="L60" s="40"/>
    </row>
    <row r="61" spans="1:12" s="41" customFormat="1" ht="19.5" hidden="1">
      <c r="A61" s="35" t="s">
        <v>17</v>
      </c>
      <c r="B61" s="37">
        <v>146054.1</v>
      </c>
      <c r="C61" s="52">
        <v>35731.5</v>
      </c>
      <c r="D61" s="37">
        <v>63941.5</v>
      </c>
      <c r="E61" s="38">
        <v>3867.5</v>
      </c>
      <c r="F61" s="37">
        <v>6215.5</v>
      </c>
      <c r="G61" s="38">
        <v>1668.2</v>
      </c>
      <c r="H61" s="37">
        <f t="shared" si="5"/>
        <v>216211.1</v>
      </c>
      <c r="I61" s="37">
        <f t="shared" si="5"/>
        <v>41267.2</v>
      </c>
      <c r="J61" s="36">
        <f>+H61+I61-'[1]crédits par secteur'!M41</f>
        <v>0</v>
      </c>
      <c r="K61" s="40"/>
      <c r="L61" s="40"/>
    </row>
    <row r="62" spans="1:12" s="41" customFormat="1" ht="19.5" hidden="1">
      <c r="A62" s="35" t="s">
        <v>18</v>
      </c>
      <c r="B62" s="37">
        <v>166786.1</v>
      </c>
      <c r="C62" s="52">
        <v>34843.5</v>
      </c>
      <c r="D62" s="37">
        <v>66630.4</v>
      </c>
      <c r="E62" s="38">
        <v>3868.5</v>
      </c>
      <c r="F62" s="37">
        <v>6305.9</v>
      </c>
      <c r="G62" s="38">
        <v>1423.3</v>
      </c>
      <c r="H62" s="37">
        <f t="shared" si="5"/>
        <v>239722.4</v>
      </c>
      <c r="I62" s="37">
        <f t="shared" si="5"/>
        <v>40135.3</v>
      </c>
      <c r="J62" s="36">
        <f>+H62+I62-'[1]crédits par secteur'!M42</f>
        <v>0</v>
      </c>
      <c r="K62" s="40"/>
      <c r="L62" s="40"/>
    </row>
    <row r="63" spans="1:12" s="41" customFormat="1" ht="19.5" hidden="1">
      <c r="A63" s="35" t="s">
        <v>19</v>
      </c>
      <c r="B63" s="37">
        <v>169897.5</v>
      </c>
      <c r="C63" s="52">
        <v>36232.1</v>
      </c>
      <c r="D63" s="37">
        <v>68744.8</v>
      </c>
      <c r="E63" s="38">
        <v>3906.8</v>
      </c>
      <c r="F63" s="37">
        <v>6463.2</v>
      </c>
      <c r="G63" s="38">
        <v>1390.7</v>
      </c>
      <c r="H63" s="37">
        <f t="shared" si="5"/>
        <v>245105.5</v>
      </c>
      <c r="I63" s="37">
        <f t="shared" si="5"/>
        <v>41529.6</v>
      </c>
      <c r="J63" s="36">
        <f>+H63+I63-'[1]crédits par secteur'!M43</f>
        <v>0</v>
      </c>
      <c r="K63" s="40"/>
      <c r="L63" s="40"/>
    </row>
    <row r="64" spans="1:12" s="41" customFormat="1" ht="19.5" hidden="1">
      <c r="A64" s="35" t="s">
        <v>20</v>
      </c>
      <c r="B64" s="37">
        <v>173401.8</v>
      </c>
      <c r="C64" s="52">
        <v>36831.9</v>
      </c>
      <c r="D64" s="37">
        <v>70263.4</v>
      </c>
      <c r="E64" s="38">
        <v>3918.1</v>
      </c>
      <c r="F64" s="37">
        <v>6352.5</v>
      </c>
      <c r="G64" s="38">
        <v>1450.4</v>
      </c>
      <c r="H64" s="37">
        <f t="shared" si="5"/>
        <v>250017.69999999998</v>
      </c>
      <c r="I64" s="37">
        <f t="shared" si="5"/>
        <v>42200.4</v>
      </c>
      <c r="J64" s="36">
        <f>+H64+I64-'[1]crédits par secteur'!M44</f>
        <v>0</v>
      </c>
      <c r="K64" s="40"/>
      <c r="L64" s="40"/>
    </row>
    <row r="65" spans="1:12" s="41" customFormat="1" ht="19.5" hidden="1">
      <c r="A65" s="35" t="s">
        <v>21</v>
      </c>
      <c r="B65" s="37">
        <v>179596.40000000002</v>
      </c>
      <c r="C65" s="52">
        <v>35760.6</v>
      </c>
      <c r="D65" s="37">
        <v>72014</v>
      </c>
      <c r="E65" s="38">
        <v>3816.5</v>
      </c>
      <c r="F65" s="37">
        <v>6620.5</v>
      </c>
      <c r="G65" s="38">
        <v>1733.9</v>
      </c>
      <c r="H65" s="37">
        <f t="shared" si="5"/>
        <v>258230.90000000002</v>
      </c>
      <c r="I65" s="37">
        <f t="shared" si="5"/>
        <v>41311</v>
      </c>
      <c r="J65" s="36">
        <f>+H65+I65-'[1]crédits par secteur'!M45</f>
        <v>0</v>
      </c>
      <c r="K65" s="40"/>
      <c r="L65" s="40"/>
    </row>
    <row r="66" spans="1:12" s="41" customFormat="1" ht="19.5" hidden="1">
      <c r="A66" s="35" t="s">
        <v>22</v>
      </c>
      <c r="B66" s="37">
        <v>173572.7</v>
      </c>
      <c r="C66" s="52">
        <v>35894.3</v>
      </c>
      <c r="D66" s="37">
        <v>73916.3</v>
      </c>
      <c r="E66" s="38">
        <v>4227.4</v>
      </c>
      <c r="F66" s="37">
        <v>6845.8</v>
      </c>
      <c r="G66" s="38">
        <v>1427.3</v>
      </c>
      <c r="H66" s="37">
        <f t="shared" si="5"/>
        <v>254334.8</v>
      </c>
      <c r="I66" s="37">
        <f t="shared" si="5"/>
        <v>41549.00000000001</v>
      </c>
      <c r="J66" s="36">
        <f>+H66+I66-'[1]crédits par secteur'!M46</f>
        <v>0</v>
      </c>
      <c r="K66" s="40"/>
      <c r="L66" s="40"/>
    </row>
    <row r="67" spans="1:12" s="41" customFormat="1" ht="19.5" hidden="1">
      <c r="A67" s="35" t="s">
        <v>23</v>
      </c>
      <c r="B67" s="37">
        <v>165681.80000000002</v>
      </c>
      <c r="C67" s="52">
        <v>37703.1</v>
      </c>
      <c r="D67" s="37">
        <v>73187.9</v>
      </c>
      <c r="E67" s="38">
        <v>3133.3</v>
      </c>
      <c r="F67" s="37">
        <v>7023.1</v>
      </c>
      <c r="G67" s="38">
        <v>1205.1</v>
      </c>
      <c r="H67" s="37">
        <f t="shared" si="5"/>
        <v>245892.80000000002</v>
      </c>
      <c r="I67" s="37">
        <f t="shared" si="5"/>
        <v>42041.5</v>
      </c>
      <c r="J67" s="36">
        <f>+H67+I67-'[1]crédits par secteur'!M47</f>
        <v>0</v>
      </c>
      <c r="K67" s="40"/>
      <c r="L67" s="40"/>
    </row>
    <row r="68" spans="1:12" s="41" customFormat="1" ht="19.5" hidden="1">
      <c r="A68" s="35" t="s">
        <v>10</v>
      </c>
      <c r="B68" s="37">
        <v>159982.9</v>
      </c>
      <c r="C68" s="52">
        <v>38641.4</v>
      </c>
      <c r="D68" s="37">
        <v>72652.1</v>
      </c>
      <c r="E68" s="38">
        <v>3190</v>
      </c>
      <c r="F68" s="37">
        <v>7131.2</v>
      </c>
      <c r="G68" s="38">
        <v>1200.1</v>
      </c>
      <c r="H68" s="37">
        <f t="shared" si="5"/>
        <v>239766.2</v>
      </c>
      <c r="I68" s="37">
        <f t="shared" si="5"/>
        <v>43031.5</v>
      </c>
      <c r="J68" s="36">
        <f>+H68+I68-'[1]crédits par secteur'!M49</f>
        <v>0</v>
      </c>
      <c r="K68" s="40"/>
      <c r="L68" s="40"/>
    </row>
    <row r="69" spans="1:12" s="41" customFormat="1" ht="19.5" hidden="1">
      <c r="A69" s="35" t="s">
        <v>25</v>
      </c>
      <c r="B69" s="37">
        <v>156787.2</v>
      </c>
      <c r="C69" s="52">
        <v>37853.4</v>
      </c>
      <c r="D69" s="37">
        <v>75975.4</v>
      </c>
      <c r="E69" s="38">
        <v>3539</v>
      </c>
      <c r="F69" s="37">
        <v>7299.7</v>
      </c>
      <c r="G69" s="38">
        <v>1189.5</v>
      </c>
      <c r="H69" s="37">
        <f t="shared" si="5"/>
        <v>240062.30000000002</v>
      </c>
      <c r="I69" s="37">
        <f t="shared" si="5"/>
        <v>42581.9</v>
      </c>
      <c r="J69" s="36">
        <f>+H69+I69-'[1]crédits par secteur'!M50</f>
        <v>0</v>
      </c>
      <c r="K69" s="40"/>
      <c r="L69" s="40"/>
    </row>
    <row r="70" spans="1:12" s="41" customFormat="1" ht="19.5" hidden="1">
      <c r="A70" s="35" t="s">
        <v>11</v>
      </c>
      <c r="B70" s="37">
        <v>162328.8</v>
      </c>
      <c r="C70" s="52">
        <v>37615.1</v>
      </c>
      <c r="D70" s="37">
        <v>77493.5</v>
      </c>
      <c r="E70" s="38">
        <v>3368.3</v>
      </c>
      <c r="F70" s="37">
        <v>7366</v>
      </c>
      <c r="G70" s="38">
        <v>1167.9</v>
      </c>
      <c r="H70" s="37">
        <f t="shared" si="5"/>
        <v>247188.3</v>
      </c>
      <c r="I70" s="37">
        <f t="shared" si="5"/>
        <v>42151.3</v>
      </c>
      <c r="J70" s="36">
        <f>+H70+I70-'[1]crédits par secteur'!M51</f>
        <v>0</v>
      </c>
      <c r="K70" s="40"/>
      <c r="L70" s="40"/>
    </row>
    <row r="71" spans="1:12" s="41" customFormat="1" ht="19.5" hidden="1">
      <c r="A71" s="35" t="s">
        <v>27</v>
      </c>
      <c r="B71" s="37">
        <v>161957.3</v>
      </c>
      <c r="C71" s="52">
        <v>36405.7</v>
      </c>
      <c r="D71" s="37">
        <v>79666.5</v>
      </c>
      <c r="E71" s="38">
        <v>3214.4</v>
      </c>
      <c r="F71" s="37">
        <v>7673.9</v>
      </c>
      <c r="G71" s="38">
        <v>1178.2</v>
      </c>
      <c r="H71" s="37">
        <f t="shared" si="5"/>
        <v>249297.69999999998</v>
      </c>
      <c r="I71" s="37">
        <f t="shared" si="5"/>
        <v>40798.299999999996</v>
      </c>
      <c r="J71" s="36">
        <f>+H71+I71-'[1]crédits par secteur'!M52</f>
        <v>0</v>
      </c>
      <c r="K71" s="40"/>
      <c r="L71" s="40"/>
    </row>
    <row r="72" spans="1:12" s="41" customFormat="1" ht="19.5" hidden="1">
      <c r="A72" s="35" t="s">
        <v>28</v>
      </c>
      <c r="B72" s="37">
        <v>163090.80000000002</v>
      </c>
      <c r="C72" s="52">
        <v>36440.2</v>
      </c>
      <c r="D72" s="37">
        <v>83319</v>
      </c>
      <c r="E72" s="38">
        <v>3250.7</v>
      </c>
      <c r="F72" s="37">
        <v>7790.8</v>
      </c>
      <c r="G72" s="38">
        <v>1197.6</v>
      </c>
      <c r="H72" s="37">
        <f aca="true" t="shared" si="6" ref="H72:I138">B72+D72+F72</f>
        <v>254200.6</v>
      </c>
      <c r="I72" s="37">
        <f t="shared" si="6"/>
        <v>40888.49999999999</v>
      </c>
      <c r="J72" s="36">
        <f>+H72+I72-'[1]crédits par secteur'!M53</f>
        <v>0</v>
      </c>
      <c r="K72" s="40"/>
      <c r="L72" s="40"/>
    </row>
    <row r="73" spans="1:12" s="41" customFormat="1" ht="19.5" hidden="1">
      <c r="A73" s="35" t="s">
        <v>7</v>
      </c>
      <c r="B73" s="37">
        <v>164206.7</v>
      </c>
      <c r="C73" s="52">
        <v>36928.4</v>
      </c>
      <c r="D73" s="37">
        <v>87990.9</v>
      </c>
      <c r="E73" s="38">
        <v>3314.7</v>
      </c>
      <c r="F73" s="37">
        <v>8060.6</v>
      </c>
      <c r="G73" s="38">
        <v>1192</v>
      </c>
      <c r="H73" s="37">
        <f t="shared" si="6"/>
        <v>260258.2</v>
      </c>
      <c r="I73" s="37">
        <f t="shared" si="6"/>
        <v>41435.1</v>
      </c>
      <c r="J73" s="36">
        <f>+H73+I73-'[1]crédits par secteur'!M54</f>
        <v>0</v>
      </c>
      <c r="K73" s="40"/>
      <c r="L73" s="40"/>
    </row>
    <row r="74" spans="1:12" s="41" customFormat="1" ht="19.5" hidden="1">
      <c r="A74" s="35" t="s">
        <v>29</v>
      </c>
      <c r="B74" s="37">
        <v>169824</v>
      </c>
      <c r="C74" s="52">
        <v>35562.9</v>
      </c>
      <c r="D74" s="37">
        <v>90934.7</v>
      </c>
      <c r="E74" s="38">
        <v>3562.7</v>
      </c>
      <c r="F74" s="37">
        <v>8323.1</v>
      </c>
      <c r="G74" s="38">
        <v>1178.2</v>
      </c>
      <c r="H74" s="37">
        <f t="shared" si="6"/>
        <v>269081.8</v>
      </c>
      <c r="I74" s="37">
        <f t="shared" si="6"/>
        <v>40303.799999999996</v>
      </c>
      <c r="J74" s="36">
        <f>+H74+I74-'[1]crédits par secteur'!M55</f>
        <v>0</v>
      </c>
      <c r="K74" s="40"/>
      <c r="L74" s="40"/>
    </row>
    <row r="75" spans="1:12" s="41" customFormat="1" ht="19.5" hidden="1">
      <c r="A75" s="35" t="s">
        <v>30</v>
      </c>
      <c r="B75" s="37">
        <v>169185</v>
      </c>
      <c r="C75" s="52">
        <v>36494.4</v>
      </c>
      <c r="D75" s="37">
        <v>96012.1</v>
      </c>
      <c r="E75" s="38">
        <v>3362.4</v>
      </c>
      <c r="F75" s="37">
        <v>8524.3</v>
      </c>
      <c r="G75" s="38">
        <v>1079.2</v>
      </c>
      <c r="H75" s="37">
        <f t="shared" si="6"/>
        <v>273721.39999999997</v>
      </c>
      <c r="I75" s="37">
        <f t="shared" si="6"/>
        <v>40936</v>
      </c>
      <c r="J75" s="36">
        <f>+H75+I75-'[1]crédits par secteur'!M56</f>
        <v>0</v>
      </c>
      <c r="K75" s="40"/>
      <c r="L75" s="40"/>
    </row>
    <row r="76" spans="1:12" s="41" customFormat="1" ht="19.5" hidden="1">
      <c r="A76" s="35" t="s">
        <v>31</v>
      </c>
      <c r="B76" s="37">
        <v>174612.1</v>
      </c>
      <c r="C76" s="52">
        <v>38028.8</v>
      </c>
      <c r="D76" s="37">
        <v>96296.6</v>
      </c>
      <c r="E76" s="38">
        <v>3423.1</v>
      </c>
      <c r="F76" s="37">
        <v>8734.7</v>
      </c>
      <c r="G76" s="38">
        <v>1073.9</v>
      </c>
      <c r="H76" s="37">
        <f t="shared" si="6"/>
        <v>279643.4</v>
      </c>
      <c r="I76" s="37">
        <f t="shared" si="6"/>
        <v>42525.8</v>
      </c>
      <c r="J76" s="36">
        <f>+H76+I76-'[1]crédits par secteur'!M57</f>
        <v>0</v>
      </c>
      <c r="K76" s="40"/>
      <c r="L76" s="40"/>
    </row>
    <row r="77" spans="1:12" s="41" customFormat="1" ht="19.5" hidden="1">
      <c r="A77" s="35" t="s">
        <v>32</v>
      </c>
      <c r="B77" s="37">
        <v>175091.19999999998</v>
      </c>
      <c r="C77" s="52">
        <v>39413.6</v>
      </c>
      <c r="D77" s="37">
        <v>101948.4</v>
      </c>
      <c r="E77" s="38">
        <v>3462.7</v>
      </c>
      <c r="F77" s="37">
        <v>8929.3</v>
      </c>
      <c r="G77" s="38">
        <v>845.6</v>
      </c>
      <c r="H77" s="37">
        <f t="shared" si="6"/>
        <v>285968.89999999997</v>
      </c>
      <c r="I77" s="37">
        <f t="shared" si="6"/>
        <v>43721.899999999994</v>
      </c>
      <c r="J77" s="36">
        <f>+H77+I77-'[1]crédits par secteur'!M58</f>
        <v>0</v>
      </c>
      <c r="K77" s="40"/>
      <c r="L77" s="40"/>
    </row>
    <row r="78" spans="1:12" s="41" customFormat="1" ht="19.5" hidden="1">
      <c r="A78" s="35" t="s">
        <v>33</v>
      </c>
      <c r="B78" s="37">
        <v>177878.1</v>
      </c>
      <c r="C78" s="52">
        <v>38345.4</v>
      </c>
      <c r="D78" s="37">
        <v>106721.7</v>
      </c>
      <c r="E78" s="38">
        <v>3870.2</v>
      </c>
      <c r="F78" s="37">
        <v>9027.5</v>
      </c>
      <c r="G78" s="38">
        <v>847.8</v>
      </c>
      <c r="H78" s="37">
        <f t="shared" si="6"/>
        <v>293627.3</v>
      </c>
      <c r="I78" s="37">
        <f t="shared" si="6"/>
        <v>43063.4</v>
      </c>
      <c r="J78" s="36">
        <f>+H78+I78-'[1]crédits par secteur'!M59</f>
        <v>0</v>
      </c>
      <c r="K78" s="40"/>
      <c r="L78" s="40"/>
    </row>
    <row r="79" spans="1:12" s="41" customFormat="1" ht="19.5" hidden="1">
      <c r="A79" s="35" t="s">
        <v>34</v>
      </c>
      <c r="B79" s="37">
        <v>172253.5</v>
      </c>
      <c r="C79" s="52">
        <v>38238.9</v>
      </c>
      <c r="D79" s="37">
        <v>110643.4</v>
      </c>
      <c r="E79" s="38">
        <v>3275.7</v>
      </c>
      <c r="F79" s="37">
        <v>9115.5</v>
      </c>
      <c r="G79" s="38">
        <v>827.6</v>
      </c>
      <c r="H79" s="37">
        <f t="shared" si="6"/>
        <v>292012.4</v>
      </c>
      <c r="I79" s="37">
        <f t="shared" si="6"/>
        <v>42342.2</v>
      </c>
      <c r="J79" s="36">
        <f>+H79+I79-'[1]crédits par secteur'!M60</f>
        <v>0</v>
      </c>
      <c r="K79" s="40"/>
      <c r="L79" s="40"/>
    </row>
    <row r="80" spans="1:12" s="41" customFormat="1" ht="19.5" hidden="1">
      <c r="A80" s="35" t="s">
        <v>12</v>
      </c>
      <c r="B80" s="37">
        <v>168033.6</v>
      </c>
      <c r="C80" s="52">
        <v>38673.9</v>
      </c>
      <c r="D80" s="37">
        <v>110417.8</v>
      </c>
      <c r="E80" s="38">
        <v>3149.8</v>
      </c>
      <c r="F80" s="37">
        <v>9553.8</v>
      </c>
      <c r="G80" s="38">
        <v>292.3</v>
      </c>
      <c r="H80" s="37">
        <f t="shared" si="6"/>
        <v>288005.2</v>
      </c>
      <c r="I80" s="37">
        <f t="shared" si="6"/>
        <v>42116.00000000001</v>
      </c>
      <c r="J80" s="36">
        <f>+H80+I80-'[1]crédits par secteur'!M62</f>
        <v>0</v>
      </c>
      <c r="K80" s="40"/>
      <c r="L80" s="40"/>
    </row>
    <row r="81" spans="1:12" s="41" customFormat="1" ht="19.5" hidden="1">
      <c r="A81" s="35" t="s">
        <v>36</v>
      </c>
      <c r="B81" s="37">
        <v>177139.90000000002</v>
      </c>
      <c r="C81" s="52">
        <v>38399.8</v>
      </c>
      <c r="D81" s="37">
        <v>112052.4</v>
      </c>
      <c r="E81" s="38">
        <v>3220.1</v>
      </c>
      <c r="F81" s="37">
        <v>9780.6</v>
      </c>
      <c r="G81" s="38">
        <v>94.8</v>
      </c>
      <c r="H81" s="37">
        <f t="shared" si="6"/>
        <v>298972.9</v>
      </c>
      <c r="I81" s="37">
        <f t="shared" si="6"/>
        <v>41714.700000000004</v>
      </c>
      <c r="J81" s="36">
        <f>+H81+I81-'[1]crédits par secteur'!M63</f>
        <v>0</v>
      </c>
      <c r="K81" s="40"/>
      <c r="L81" s="40"/>
    </row>
    <row r="82" spans="1:12" s="41" customFormat="1" ht="19.5" hidden="1">
      <c r="A82" s="35" t="s">
        <v>14</v>
      </c>
      <c r="B82" s="37">
        <v>185489.6</v>
      </c>
      <c r="C82" s="52">
        <v>38592</v>
      </c>
      <c r="D82" s="37">
        <v>113509.1</v>
      </c>
      <c r="E82" s="38">
        <v>3131.2</v>
      </c>
      <c r="F82" s="37">
        <v>10484.9</v>
      </c>
      <c r="G82" s="38">
        <v>67.4</v>
      </c>
      <c r="H82" s="37">
        <f t="shared" si="6"/>
        <v>309483.60000000003</v>
      </c>
      <c r="I82" s="37">
        <f t="shared" si="6"/>
        <v>41790.6</v>
      </c>
      <c r="J82" s="36">
        <f>+H82+I82-'[1]crédits par secteur'!M64</f>
        <v>0</v>
      </c>
      <c r="K82" s="40"/>
      <c r="L82" s="40"/>
    </row>
    <row r="83" spans="1:12" s="41" customFormat="1" ht="19.5" hidden="1">
      <c r="A83" s="35" t="s">
        <v>37</v>
      </c>
      <c r="B83" s="37">
        <v>187690.1</v>
      </c>
      <c r="C83" s="52">
        <v>39032</v>
      </c>
      <c r="D83" s="37">
        <v>118661.7</v>
      </c>
      <c r="E83" s="38">
        <v>3158.9</v>
      </c>
      <c r="F83" s="37">
        <v>10717.6</v>
      </c>
      <c r="G83" s="38">
        <v>81.4</v>
      </c>
      <c r="H83" s="37">
        <f t="shared" si="6"/>
        <v>317069.39999999997</v>
      </c>
      <c r="I83" s="37">
        <f t="shared" si="6"/>
        <v>42272.3</v>
      </c>
      <c r="J83" s="36">
        <f>+H83+I83-'[1]crédits par secteur'!M65</f>
        <v>0</v>
      </c>
      <c r="K83" s="40"/>
      <c r="L83" s="40"/>
    </row>
    <row r="84" spans="1:12" s="41" customFormat="1" ht="19.5" hidden="1">
      <c r="A84" s="35" t="s">
        <v>38</v>
      </c>
      <c r="B84" s="37">
        <v>193377.4</v>
      </c>
      <c r="C84" s="52">
        <v>39359.9</v>
      </c>
      <c r="D84" s="37">
        <v>119432</v>
      </c>
      <c r="E84" s="38">
        <v>3400.7</v>
      </c>
      <c r="F84" s="37">
        <v>10779.3</v>
      </c>
      <c r="G84" s="38">
        <v>113.8</v>
      </c>
      <c r="H84" s="37">
        <f t="shared" si="6"/>
        <v>323588.7</v>
      </c>
      <c r="I84" s="37">
        <f t="shared" si="6"/>
        <v>42874.4</v>
      </c>
      <c r="J84" s="36">
        <f>+H84+I84-'[1]crédits par secteur'!M66</f>
        <v>0</v>
      </c>
      <c r="K84" s="40"/>
      <c r="L84" s="40"/>
    </row>
    <row r="85" spans="1:12" s="41" customFormat="1" ht="19.5" hidden="1">
      <c r="A85" s="35" t="s">
        <v>39</v>
      </c>
      <c r="B85" s="37">
        <v>209981.30000000002</v>
      </c>
      <c r="C85" s="52">
        <v>42392.2</v>
      </c>
      <c r="D85" s="37">
        <v>124532.5</v>
      </c>
      <c r="E85" s="38">
        <v>3433.8</v>
      </c>
      <c r="F85" s="37">
        <v>11210.4</v>
      </c>
      <c r="G85" s="38">
        <v>87.6</v>
      </c>
      <c r="H85" s="37">
        <f t="shared" si="6"/>
        <v>345724.20000000007</v>
      </c>
      <c r="I85" s="37">
        <f t="shared" si="6"/>
        <v>45913.6</v>
      </c>
      <c r="J85" s="36">
        <f>+H85+I85-'[1]crédits par secteur'!M67</f>
        <v>0</v>
      </c>
      <c r="K85" s="40"/>
      <c r="L85" s="40"/>
    </row>
    <row r="86" spans="1:12" s="41" customFormat="1" ht="19.5" hidden="1">
      <c r="A86" s="35" t="s">
        <v>40</v>
      </c>
      <c r="B86" s="37">
        <v>228203.7</v>
      </c>
      <c r="C86" s="52">
        <v>41321.8</v>
      </c>
      <c r="D86" s="37">
        <v>125424.8</v>
      </c>
      <c r="E86" s="38">
        <v>2860.1</v>
      </c>
      <c r="F86" s="37">
        <v>11208.3</v>
      </c>
      <c r="G86" s="38">
        <v>86.8</v>
      </c>
      <c r="H86" s="37">
        <f t="shared" si="6"/>
        <v>364836.8</v>
      </c>
      <c r="I86" s="37">
        <f t="shared" si="6"/>
        <v>44268.700000000004</v>
      </c>
      <c r="J86" s="36">
        <f>+H86+I86-'[1]crédits par secteur'!M68</f>
        <v>0</v>
      </c>
      <c r="K86" s="40"/>
      <c r="L86" s="40"/>
    </row>
    <row r="87" spans="1:12" s="41" customFormat="1" ht="19.5" hidden="1">
      <c r="A87" s="35" t="s">
        <v>41</v>
      </c>
      <c r="B87" s="37">
        <v>236714.2</v>
      </c>
      <c r="C87" s="52">
        <v>41718.8</v>
      </c>
      <c r="D87" s="37">
        <v>129872.2</v>
      </c>
      <c r="E87" s="38">
        <v>2620.1</v>
      </c>
      <c r="F87" s="37">
        <v>11546.8</v>
      </c>
      <c r="G87" s="38">
        <v>97.4</v>
      </c>
      <c r="H87" s="37">
        <f t="shared" si="6"/>
        <v>378133.2</v>
      </c>
      <c r="I87" s="37">
        <f t="shared" si="6"/>
        <v>44436.3</v>
      </c>
      <c r="J87" s="36">
        <f>+H87+I87-'[1]crédits par secteur'!M69</f>
        <v>0</v>
      </c>
      <c r="K87" s="40"/>
      <c r="L87" s="40"/>
    </row>
    <row r="88" spans="1:12" s="41" customFormat="1" ht="19.5" hidden="1">
      <c r="A88" s="35" t="s">
        <v>42</v>
      </c>
      <c r="B88" s="37">
        <v>241613.69999999998</v>
      </c>
      <c r="C88" s="52">
        <v>42154.8</v>
      </c>
      <c r="D88" s="37">
        <v>131143.2</v>
      </c>
      <c r="E88" s="38">
        <v>3000.6</v>
      </c>
      <c r="F88" s="37">
        <v>11976.4</v>
      </c>
      <c r="G88" s="38">
        <v>85.3</v>
      </c>
      <c r="H88" s="37">
        <f t="shared" si="6"/>
        <v>384733.30000000005</v>
      </c>
      <c r="I88" s="37">
        <f t="shared" si="6"/>
        <v>45240.700000000004</v>
      </c>
      <c r="J88" s="36">
        <f>+H88+I88-'[1]crédits par secteur'!M70</f>
        <v>0</v>
      </c>
      <c r="K88" s="40"/>
      <c r="L88" s="40"/>
    </row>
    <row r="89" spans="1:12" s="41" customFormat="1" ht="19.5" hidden="1">
      <c r="A89" s="35" t="s">
        <v>44</v>
      </c>
      <c r="B89" s="37">
        <v>245343.40000000002</v>
      </c>
      <c r="C89" s="52">
        <v>40320.8</v>
      </c>
      <c r="D89" s="37">
        <v>132867.4</v>
      </c>
      <c r="E89" s="38">
        <v>2929.4</v>
      </c>
      <c r="F89" s="37">
        <v>12532.2</v>
      </c>
      <c r="G89" s="38">
        <v>127</v>
      </c>
      <c r="H89" s="37">
        <f t="shared" si="6"/>
        <v>390743.00000000006</v>
      </c>
      <c r="I89" s="37">
        <f t="shared" si="6"/>
        <v>43377.200000000004</v>
      </c>
      <c r="J89" s="36">
        <f>+H89+I89-'[1]crédits par secteur'!M71</f>
        <v>0</v>
      </c>
      <c r="K89" s="40"/>
      <c r="L89" s="40"/>
    </row>
    <row r="90" spans="1:12" s="41" customFormat="1" ht="19.5" hidden="1">
      <c r="A90" s="35" t="s">
        <v>45</v>
      </c>
      <c r="B90" s="37">
        <v>244023.59999999998</v>
      </c>
      <c r="C90" s="52">
        <v>39406.8</v>
      </c>
      <c r="D90" s="37">
        <v>133107.5</v>
      </c>
      <c r="E90" s="38">
        <v>3025.9</v>
      </c>
      <c r="F90" s="37">
        <v>12869.9</v>
      </c>
      <c r="G90" s="38">
        <v>121.3</v>
      </c>
      <c r="H90" s="37">
        <f t="shared" si="6"/>
        <v>390001</v>
      </c>
      <c r="I90" s="37">
        <f t="shared" si="6"/>
        <v>42554.00000000001</v>
      </c>
      <c r="J90" s="36">
        <f>+H90+I90-'[1]crédits par secteur'!M72</f>
        <v>0</v>
      </c>
      <c r="K90" s="40"/>
      <c r="L90" s="40"/>
    </row>
    <row r="91" spans="1:12" s="41" customFormat="1" ht="19.5" hidden="1">
      <c r="A91" s="35" t="s">
        <v>46</v>
      </c>
      <c r="B91" s="37">
        <v>239504.9</v>
      </c>
      <c r="C91" s="52">
        <v>39076.8</v>
      </c>
      <c r="D91" s="37">
        <v>138300.6</v>
      </c>
      <c r="E91" s="38">
        <v>2546.2</v>
      </c>
      <c r="F91" s="37">
        <v>13708.4</v>
      </c>
      <c r="G91" s="38">
        <v>101.5</v>
      </c>
      <c r="H91" s="37">
        <f t="shared" si="6"/>
        <v>391513.9</v>
      </c>
      <c r="I91" s="37">
        <f t="shared" si="6"/>
        <v>41724.5</v>
      </c>
      <c r="J91" s="36">
        <f>+H91+I91-'[1]crédits par secteur'!M73</f>
        <v>0</v>
      </c>
      <c r="K91" s="40"/>
      <c r="L91" s="40"/>
    </row>
    <row r="92" spans="1:12" s="41" customFormat="1" ht="19.5" hidden="1">
      <c r="A92" s="35" t="s">
        <v>24</v>
      </c>
      <c r="B92" s="37">
        <v>239537.4</v>
      </c>
      <c r="C92" s="52">
        <v>39208.3</v>
      </c>
      <c r="D92" s="37">
        <v>139419.9</v>
      </c>
      <c r="E92" s="38">
        <v>2555.8</v>
      </c>
      <c r="F92" s="37">
        <v>14039.6</v>
      </c>
      <c r="G92" s="38">
        <v>133.3</v>
      </c>
      <c r="H92" s="37">
        <f t="shared" si="6"/>
        <v>392996.89999999997</v>
      </c>
      <c r="I92" s="37">
        <f t="shared" si="6"/>
        <v>41897.40000000001</v>
      </c>
      <c r="J92" s="36">
        <f>+H92+I92-'[1]crédits par secteur'!M75</f>
        <v>0</v>
      </c>
      <c r="K92" s="40"/>
      <c r="L92" s="40"/>
    </row>
    <row r="93" spans="1:12" s="41" customFormat="1" ht="19.5" hidden="1">
      <c r="A93" s="35" t="s">
        <v>48</v>
      </c>
      <c r="B93" s="37">
        <v>246333.6</v>
      </c>
      <c r="C93" s="52">
        <v>38290.7</v>
      </c>
      <c r="D93" s="37">
        <v>145740</v>
      </c>
      <c r="E93" s="38">
        <v>2655.7</v>
      </c>
      <c r="F93" s="37">
        <v>14653.3</v>
      </c>
      <c r="G93" s="38">
        <v>195.3</v>
      </c>
      <c r="H93" s="37">
        <f t="shared" si="6"/>
        <v>406726.89999999997</v>
      </c>
      <c r="I93" s="37">
        <f t="shared" si="6"/>
        <v>41141.7</v>
      </c>
      <c r="J93" s="36">
        <f>+H93+I93-'[1]crédits par secteur'!M76</f>
        <v>0</v>
      </c>
      <c r="K93" s="40"/>
      <c r="L93" s="40"/>
    </row>
    <row r="94" spans="1:12" s="41" customFormat="1" ht="19.5" hidden="1">
      <c r="A94" s="35" t="s">
        <v>26</v>
      </c>
      <c r="B94" s="37">
        <v>254065.2</v>
      </c>
      <c r="C94" s="52">
        <v>36999.8</v>
      </c>
      <c r="D94" s="37">
        <v>153860.3</v>
      </c>
      <c r="E94" s="38">
        <v>2502.8</v>
      </c>
      <c r="F94" s="37">
        <v>15017.7</v>
      </c>
      <c r="G94" s="38">
        <v>206.2</v>
      </c>
      <c r="H94" s="37">
        <f t="shared" si="6"/>
        <v>422943.2</v>
      </c>
      <c r="I94" s="37">
        <f t="shared" si="6"/>
        <v>39708.8</v>
      </c>
      <c r="J94" s="36">
        <f>+H94+I94-'[1]crédits par secteur'!M77</f>
        <v>0</v>
      </c>
      <c r="K94" s="40"/>
      <c r="L94" s="40"/>
    </row>
    <row r="95" spans="1:12" s="41" customFormat="1" ht="19.5" hidden="1">
      <c r="A95" s="35" t="s">
        <v>49</v>
      </c>
      <c r="B95" s="37">
        <v>259333.5</v>
      </c>
      <c r="C95" s="52">
        <v>36708.4</v>
      </c>
      <c r="D95" s="37">
        <v>155819.5</v>
      </c>
      <c r="E95" s="38">
        <v>2563.8</v>
      </c>
      <c r="F95" s="37">
        <v>15366.6</v>
      </c>
      <c r="G95" s="38">
        <v>230</v>
      </c>
      <c r="H95" s="37">
        <f t="shared" si="6"/>
        <v>430519.6</v>
      </c>
      <c r="I95" s="37">
        <f t="shared" si="6"/>
        <v>39502.200000000004</v>
      </c>
      <c r="J95" s="36">
        <f>+H95+I95-'[1]crédits par secteur'!M78</f>
        <v>0</v>
      </c>
      <c r="K95" s="40"/>
      <c r="L95" s="40"/>
    </row>
    <row r="96" spans="1:12" s="41" customFormat="1" ht="19.5" hidden="1">
      <c r="A96" s="35" t="s">
        <v>50</v>
      </c>
      <c r="B96" s="37">
        <v>267975.6</v>
      </c>
      <c r="C96" s="52">
        <v>36632.4</v>
      </c>
      <c r="D96" s="37">
        <v>168322.3</v>
      </c>
      <c r="E96" s="38">
        <v>2584.4</v>
      </c>
      <c r="F96" s="37">
        <v>15650.1</v>
      </c>
      <c r="G96" s="38">
        <v>221.4</v>
      </c>
      <c r="H96" s="37">
        <f t="shared" si="6"/>
        <v>451947.99999999994</v>
      </c>
      <c r="I96" s="37">
        <f t="shared" si="6"/>
        <v>39438.200000000004</v>
      </c>
      <c r="J96" s="36">
        <f>+H96+I96-'[1]crédits par secteur'!M79</f>
        <v>0</v>
      </c>
      <c r="K96" s="40"/>
      <c r="L96" s="40"/>
    </row>
    <row r="97" spans="1:12" s="41" customFormat="1" ht="19.5" hidden="1">
      <c r="A97" s="35" t="s">
        <v>51</v>
      </c>
      <c r="B97" s="37">
        <v>292610.6</v>
      </c>
      <c r="C97" s="52">
        <v>36042.6</v>
      </c>
      <c r="D97" s="37">
        <v>172536.4</v>
      </c>
      <c r="E97" s="38">
        <v>2626.6</v>
      </c>
      <c r="F97" s="37">
        <v>16806.4</v>
      </c>
      <c r="G97" s="38">
        <v>226.4</v>
      </c>
      <c r="H97" s="37">
        <f t="shared" si="6"/>
        <v>481953.4</v>
      </c>
      <c r="I97" s="37">
        <f t="shared" si="6"/>
        <v>38895.6</v>
      </c>
      <c r="J97" s="36">
        <f>+H97+I97-'[1]crédits par secteur'!M80</f>
        <v>0</v>
      </c>
      <c r="K97" s="40"/>
      <c r="L97" s="40"/>
    </row>
    <row r="98" spans="1:12" s="41" customFormat="1" ht="19.5" hidden="1">
      <c r="A98" s="35" t="s">
        <v>53</v>
      </c>
      <c r="B98" s="37">
        <v>307394.3</v>
      </c>
      <c r="C98" s="52">
        <v>37036.2</v>
      </c>
      <c r="D98" s="37">
        <v>172554.6</v>
      </c>
      <c r="E98" s="38">
        <v>2648</v>
      </c>
      <c r="F98" s="37">
        <v>18951.4</v>
      </c>
      <c r="G98" s="38">
        <v>211.1</v>
      </c>
      <c r="H98" s="37">
        <f t="shared" si="6"/>
        <v>498900.30000000005</v>
      </c>
      <c r="I98" s="37">
        <f t="shared" si="6"/>
        <v>39895.299999999996</v>
      </c>
      <c r="J98" s="36">
        <f>+H98+I98-'[1]crédits par secteur'!M81</f>
        <v>0</v>
      </c>
      <c r="K98" s="40"/>
      <c r="L98" s="40"/>
    </row>
    <row r="99" spans="1:12" s="41" customFormat="1" ht="19.5" hidden="1">
      <c r="A99" s="35" t="s">
        <v>54</v>
      </c>
      <c r="B99" s="37">
        <v>333205.5</v>
      </c>
      <c r="C99" s="52">
        <v>38524.8</v>
      </c>
      <c r="D99" s="37">
        <v>162502.1</v>
      </c>
      <c r="E99" s="38">
        <v>2661.8</v>
      </c>
      <c r="F99" s="37">
        <v>18144.7</v>
      </c>
      <c r="G99" s="38">
        <v>1128.7</v>
      </c>
      <c r="H99" s="37">
        <f t="shared" si="6"/>
        <v>513852.3</v>
      </c>
      <c r="I99" s="37">
        <f t="shared" si="6"/>
        <v>42315.3</v>
      </c>
      <c r="J99" s="36">
        <f>+H99+I99-'[1]crédits par secteur'!M82</f>
        <v>0</v>
      </c>
      <c r="K99" s="40"/>
      <c r="L99" s="40"/>
    </row>
    <row r="100" spans="1:12" s="41" customFormat="1" ht="19.5" hidden="1">
      <c r="A100" s="35" t="s">
        <v>55</v>
      </c>
      <c r="B100" s="37">
        <v>335552.8</v>
      </c>
      <c r="C100" s="52">
        <v>37268.2</v>
      </c>
      <c r="D100" s="37">
        <v>168503.6</v>
      </c>
      <c r="E100" s="38">
        <v>2852.1</v>
      </c>
      <c r="F100" s="37">
        <v>20141.2</v>
      </c>
      <c r="G100" s="38">
        <v>191.4</v>
      </c>
      <c r="H100" s="37">
        <f t="shared" si="6"/>
        <v>524197.60000000003</v>
      </c>
      <c r="I100" s="37">
        <f t="shared" si="6"/>
        <v>40311.7</v>
      </c>
      <c r="J100" s="36">
        <f>+H100+I100-'[1]crédits par secteur'!M83</f>
        <v>0</v>
      </c>
      <c r="K100" s="40"/>
      <c r="L100" s="40"/>
    </row>
    <row r="101" spans="1:12" s="41" customFormat="1" ht="19.5" hidden="1">
      <c r="A101" s="35" t="s">
        <v>56</v>
      </c>
      <c r="B101" s="37">
        <v>355088.7</v>
      </c>
      <c r="C101" s="52">
        <v>36180.3</v>
      </c>
      <c r="D101" s="37">
        <v>162613.6</v>
      </c>
      <c r="E101" s="38">
        <v>4382.7</v>
      </c>
      <c r="F101" s="37">
        <v>20830.8</v>
      </c>
      <c r="G101" s="38">
        <v>229.7</v>
      </c>
      <c r="H101" s="37">
        <f t="shared" si="6"/>
        <v>538533.1000000001</v>
      </c>
      <c r="I101" s="37">
        <f t="shared" si="6"/>
        <v>40792.7</v>
      </c>
      <c r="J101" s="36">
        <f>+H101+I101-'[1]crédits par secteur'!M84</f>
        <v>0</v>
      </c>
      <c r="K101" s="40"/>
      <c r="L101" s="40"/>
    </row>
    <row r="102" spans="1:12" s="41" customFormat="1" ht="19.5" hidden="1">
      <c r="A102" s="35" t="s">
        <v>57</v>
      </c>
      <c r="B102" s="37">
        <v>355240.1</v>
      </c>
      <c r="C102" s="52">
        <v>35001.1</v>
      </c>
      <c r="D102" s="37">
        <v>169842</v>
      </c>
      <c r="E102" s="38">
        <v>5649.4</v>
      </c>
      <c r="F102" s="37">
        <v>20963.9</v>
      </c>
      <c r="G102" s="38">
        <v>232.9</v>
      </c>
      <c r="H102" s="37">
        <f t="shared" si="6"/>
        <v>546046</v>
      </c>
      <c r="I102" s="37">
        <f t="shared" si="6"/>
        <v>40883.4</v>
      </c>
      <c r="J102" s="36">
        <f>+H102+I102-'[1]crédits par secteur'!M85</f>
        <v>0</v>
      </c>
      <c r="K102" s="40"/>
      <c r="L102" s="40"/>
    </row>
    <row r="103" spans="1:12" s="41" customFormat="1" ht="19.5" hidden="1">
      <c r="A103" s="49" t="s">
        <v>58</v>
      </c>
      <c r="B103" s="37">
        <v>341803.80000000005</v>
      </c>
      <c r="C103" s="52">
        <v>37336.7</v>
      </c>
      <c r="D103" s="37">
        <v>165470.1</v>
      </c>
      <c r="E103" s="38">
        <v>6544.4</v>
      </c>
      <c r="F103" s="37">
        <v>23918.5</v>
      </c>
      <c r="G103" s="38">
        <v>231.1</v>
      </c>
      <c r="H103" s="37">
        <f t="shared" si="6"/>
        <v>531192.4</v>
      </c>
      <c r="I103" s="37">
        <f t="shared" si="6"/>
        <v>44112.2</v>
      </c>
      <c r="J103" s="36">
        <f>+H103+I103-'[1]crédits par secteur'!M86</f>
        <v>0</v>
      </c>
      <c r="K103" s="40"/>
      <c r="L103" s="40"/>
    </row>
    <row r="104" spans="1:12" s="41" customFormat="1" ht="19.5" hidden="1">
      <c r="A104" s="35" t="s">
        <v>35</v>
      </c>
      <c r="B104" s="37">
        <v>337863.8</v>
      </c>
      <c r="C104" s="52">
        <v>38222.8</v>
      </c>
      <c r="D104" s="37">
        <v>164927.4</v>
      </c>
      <c r="E104" s="38">
        <v>7294.7</v>
      </c>
      <c r="F104" s="37">
        <v>27639.8</v>
      </c>
      <c r="G104" s="38">
        <v>235.1</v>
      </c>
      <c r="H104" s="37">
        <f t="shared" si="6"/>
        <v>530431</v>
      </c>
      <c r="I104" s="37">
        <f t="shared" si="6"/>
        <v>45752.6</v>
      </c>
      <c r="J104" s="36">
        <f>+H104+I104-'[1]crédits par secteur'!M88</f>
        <v>0</v>
      </c>
      <c r="K104" s="40"/>
      <c r="L104" s="40"/>
    </row>
    <row r="105" spans="1:12" s="41" customFormat="1" ht="19.5" hidden="1">
      <c r="A105" s="35" t="s">
        <v>62</v>
      </c>
      <c r="B105" s="37">
        <v>335300.8</v>
      </c>
      <c r="C105" s="52">
        <v>38331.2</v>
      </c>
      <c r="D105" s="37">
        <v>167924.2</v>
      </c>
      <c r="E105" s="38">
        <v>7243.5</v>
      </c>
      <c r="F105" s="37">
        <v>27983.1</v>
      </c>
      <c r="G105" s="38">
        <v>226.1</v>
      </c>
      <c r="H105" s="37">
        <f t="shared" si="6"/>
        <v>531208.1</v>
      </c>
      <c r="I105" s="37">
        <f t="shared" si="6"/>
        <v>45800.799999999996</v>
      </c>
      <c r="J105" s="36">
        <f>+H105+I105-'[1]crédits par secteur'!M89</f>
        <v>0</v>
      </c>
      <c r="K105" s="40"/>
      <c r="L105" s="40"/>
    </row>
    <row r="106" spans="1:12" s="41" customFormat="1" ht="19.5" hidden="1">
      <c r="A106" s="35" t="s">
        <v>63</v>
      </c>
      <c r="B106" s="37">
        <v>345436</v>
      </c>
      <c r="C106" s="52">
        <v>39908.9</v>
      </c>
      <c r="D106" s="37">
        <v>171566.4</v>
      </c>
      <c r="E106" s="38">
        <v>7772.6</v>
      </c>
      <c r="F106" s="37">
        <v>28148.7</v>
      </c>
      <c r="G106" s="38">
        <v>284.1</v>
      </c>
      <c r="H106" s="37">
        <f t="shared" si="6"/>
        <v>545151.1</v>
      </c>
      <c r="I106" s="37">
        <f t="shared" si="6"/>
        <v>47965.6</v>
      </c>
      <c r="J106" s="36">
        <f>+H106+I106-'[1]crédits par secteur'!M90</f>
        <v>0</v>
      </c>
      <c r="K106" s="40"/>
      <c r="L106" s="40"/>
    </row>
    <row r="107" spans="1:12" s="41" customFormat="1" ht="19.5" hidden="1">
      <c r="A107" s="35" t="s">
        <v>65</v>
      </c>
      <c r="B107" s="37">
        <v>351855.7</v>
      </c>
      <c r="C107" s="52">
        <v>40904.4</v>
      </c>
      <c r="D107" s="37">
        <v>168570</v>
      </c>
      <c r="E107" s="38">
        <v>7317.8</v>
      </c>
      <c r="F107" s="37">
        <v>29760.9</v>
      </c>
      <c r="G107" s="38">
        <v>343.1</v>
      </c>
      <c r="H107" s="37">
        <f t="shared" si="6"/>
        <v>550186.6</v>
      </c>
      <c r="I107" s="37">
        <f t="shared" si="6"/>
        <v>48565.3</v>
      </c>
      <c r="J107" s="36">
        <f>+H107+I107-'[1]crédits par secteur'!M91</f>
        <v>0</v>
      </c>
      <c r="K107" s="40"/>
      <c r="L107" s="40"/>
    </row>
    <row r="108" spans="1:12" s="41" customFormat="1" ht="19.5" hidden="1">
      <c r="A108" s="35" t="s">
        <v>66</v>
      </c>
      <c r="B108" s="37">
        <v>377317.6</v>
      </c>
      <c r="C108" s="52">
        <v>40530.8</v>
      </c>
      <c r="D108" s="37">
        <v>173542.7</v>
      </c>
      <c r="E108" s="38">
        <v>7453.5</v>
      </c>
      <c r="F108" s="37">
        <v>30644.3</v>
      </c>
      <c r="G108" s="38">
        <v>347.5</v>
      </c>
      <c r="H108" s="37">
        <f t="shared" si="6"/>
        <v>581504.6000000001</v>
      </c>
      <c r="I108" s="37">
        <f t="shared" si="6"/>
        <v>48331.8</v>
      </c>
      <c r="J108" s="36">
        <f>+H108+I108-'[1]crédits par secteur'!M92</f>
        <v>0</v>
      </c>
      <c r="K108" s="40"/>
      <c r="L108" s="40"/>
    </row>
    <row r="109" spans="1:12" s="41" customFormat="1" ht="19.5" hidden="1">
      <c r="A109" s="35" t="s">
        <v>67</v>
      </c>
      <c r="B109" s="37">
        <f>385447.7+1893.3</f>
        <v>387341</v>
      </c>
      <c r="C109" s="52">
        <v>38930.9</v>
      </c>
      <c r="D109" s="37">
        <v>183942.5</v>
      </c>
      <c r="E109" s="38">
        <v>7686.2</v>
      </c>
      <c r="F109" s="37">
        <v>28336.6</v>
      </c>
      <c r="G109" s="38">
        <v>380.8</v>
      </c>
      <c r="H109" s="37">
        <f t="shared" si="6"/>
        <v>599620.1</v>
      </c>
      <c r="I109" s="37">
        <f t="shared" si="6"/>
        <v>46997.9</v>
      </c>
      <c r="J109" s="36">
        <f>+H109+I109-'[1]crédits par secteur'!M93</f>
        <v>0</v>
      </c>
      <c r="K109" s="40"/>
      <c r="L109" s="40"/>
    </row>
    <row r="110" spans="1:12" s="41" customFormat="1" ht="19.5" hidden="1">
      <c r="A110" s="35" t="s">
        <v>68</v>
      </c>
      <c r="B110" s="37">
        <v>387829.7</v>
      </c>
      <c r="C110" s="52">
        <v>39784.2</v>
      </c>
      <c r="D110" s="37">
        <v>183485.4</v>
      </c>
      <c r="E110" s="38">
        <v>7930.3</v>
      </c>
      <c r="F110" s="37">
        <v>28585.6</v>
      </c>
      <c r="G110" s="38">
        <v>414</v>
      </c>
      <c r="H110" s="37">
        <f t="shared" si="6"/>
        <v>599900.7</v>
      </c>
      <c r="I110" s="37">
        <f t="shared" si="6"/>
        <v>48128.5</v>
      </c>
      <c r="J110" s="36">
        <f>+H110+I110-'[1]crédits par secteur'!M94</f>
        <v>0</v>
      </c>
      <c r="K110" s="40"/>
      <c r="L110" s="40"/>
    </row>
    <row r="111" spans="1:12" s="41" customFormat="1" ht="19.5" hidden="1">
      <c r="A111" s="35" t="s">
        <v>69</v>
      </c>
      <c r="B111" s="37">
        <v>397944</v>
      </c>
      <c r="C111" s="52">
        <v>41302.5</v>
      </c>
      <c r="D111" s="37">
        <v>184212</v>
      </c>
      <c r="E111" s="38">
        <v>10096.5</v>
      </c>
      <c r="F111" s="37">
        <v>30880.8</v>
      </c>
      <c r="G111" s="38">
        <v>527.1</v>
      </c>
      <c r="H111" s="37">
        <f t="shared" si="6"/>
        <v>613036.8</v>
      </c>
      <c r="I111" s="37">
        <f t="shared" si="6"/>
        <v>51926.1</v>
      </c>
      <c r="J111" s="36">
        <f>+H111+I111-'[1]crédits par secteur'!M95</f>
        <v>0</v>
      </c>
      <c r="K111" s="40"/>
      <c r="L111" s="40"/>
    </row>
    <row r="112" spans="1:12" s="41" customFormat="1" ht="19.5" hidden="1">
      <c r="A112" s="35" t="s">
        <v>70</v>
      </c>
      <c r="B112" s="37">
        <v>398069.5</v>
      </c>
      <c r="C112" s="52">
        <v>40723.9</v>
      </c>
      <c r="D112" s="37">
        <v>176819.7</v>
      </c>
      <c r="E112" s="38">
        <v>11223.7</v>
      </c>
      <c r="F112" s="37">
        <v>31078.3</v>
      </c>
      <c r="G112" s="38">
        <v>583.1</v>
      </c>
      <c r="H112" s="37">
        <f t="shared" si="6"/>
        <v>605967.5</v>
      </c>
      <c r="I112" s="37">
        <f t="shared" si="6"/>
        <v>52530.700000000004</v>
      </c>
      <c r="J112" s="36">
        <f>+H112+I112-'[1]crédits par secteur'!M96</f>
        <v>0</v>
      </c>
      <c r="K112" s="40"/>
      <c r="L112" s="40"/>
    </row>
    <row r="113" spans="1:12" s="41" customFormat="1" ht="19.5" hidden="1">
      <c r="A113" s="35" t="s">
        <v>72</v>
      </c>
      <c r="B113" s="37">
        <v>408283.5</v>
      </c>
      <c r="C113" s="52">
        <v>38697.5</v>
      </c>
      <c r="D113" s="37">
        <v>177294</v>
      </c>
      <c r="E113" s="38">
        <v>11520.9</v>
      </c>
      <c r="F113" s="37">
        <v>31407.7</v>
      </c>
      <c r="G113" s="38">
        <v>716</v>
      </c>
      <c r="H113" s="37">
        <f t="shared" si="6"/>
        <v>616985.2</v>
      </c>
      <c r="I113" s="37">
        <f t="shared" si="6"/>
        <v>50934.4</v>
      </c>
      <c r="J113" s="36">
        <f>+H113+I113-'[1]crédits par secteur'!M97</f>
        <v>0</v>
      </c>
      <c r="K113" s="40"/>
      <c r="L113" s="40"/>
    </row>
    <row r="114" spans="1:12" s="41" customFormat="1" ht="19.5" hidden="1">
      <c r="A114" s="35" t="s">
        <v>74</v>
      </c>
      <c r="B114" s="37">
        <v>403025.1</v>
      </c>
      <c r="C114" s="52">
        <v>41117</v>
      </c>
      <c r="D114" s="37">
        <v>173013.4</v>
      </c>
      <c r="E114" s="38">
        <v>15943.9</v>
      </c>
      <c r="F114" s="37">
        <v>32238</v>
      </c>
      <c r="G114" s="38">
        <v>938.5</v>
      </c>
      <c r="H114" s="37">
        <f t="shared" si="6"/>
        <v>608276.5</v>
      </c>
      <c r="I114" s="37">
        <f t="shared" si="6"/>
        <v>57999.4</v>
      </c>
      <c r="J114" s="36">
        <f>+H114+I114-'[1]crédits par secteur'!M98</f>
        <v>0</v>
      </c>
      <c r="K114" s="40"/>
      <c r="L114" s="40"/>
    </row>
    <row r="115" spans="1:12" s="41" customFormat="1" ht="19.5" hidden="1">
      <c r="A115" s="35" t="s">
        <v>75</v>
      </c>
      <c r="B115" s="37">
        <v>375660.7</v>
      </c>
      <c r="C115" s="52">
        <v>41448.6</v>
      </c>
      <c r="D115" s="37">
        <v>181820.6</v>
      </c>
      <c r="E115" s="38">
        <v>13991.8</v>
      </c>
      <c r="F115" s="37">
        <v>37766.1</v>
      </c>
      <c r="G115" s="38">
        <v>1072.9</v>
      </c>
      <c r="H115" s="37">
        <f t="shared" si="6"/>
        <v>595247.4</v>
      </c>
      <c r="I115" s="37">
        <f t="shared" si="6"/>
        <v>56513.299999999996</v>
      </c>
      <c r="J115" s="36">
        <f>+H115+I115-'[1]crédits par secteur'!M99</f>
        <v>0</v>
      </c>
      <c r="K115" s="40"/>
      <c r="L115" s="40"/>
    </row>
    <row r="116" spans="1:12" s="41" customFormat="1" ht="19.5" hidden="1">
      <c r="A116" s="35" t="s">
        <v>47</v>
      </c>
      <c r="B116" s="37">
        <v>376461.6</v>
      </c>
      <c r="C116" s="52">
        <v>45270.8</v>
      </c>
      <c r="D116" s="37">
        <v>185419.5</v>
      </c>
      <c r="E116" s="38">
        <v>15123.4</v>
      </c>
      <c r="F116" s="37">
        <v>37464.3</v>
      </c>
      <c r="G116" s="38">
        <v>1120.1</v>
      </c>
      <c r="H116" s="37">
        <f t="shared" si="6"/>
        <v>599345.4</v>
      </c>
      <c r="I116" s="37">
        <f t="shared" si="6"/>
        <v>61514.3</v>
      </c>
      <c r="J116" s="36">
        <f>+H116+I116-'[1]crédits par secteur'!M101</f>
        <v>0</v>
      </c>
      <c r="K116" s="40"/>
      <c r="L116" s="40"/>
    </row>
    <row r="117" spans="1:12" s="41" customFormat="1" ht="19.5" hidden="1">
      <c r="A117" s="35" t="s">
        <v>77</v>
      </c>
      <c r="B117" s="37">
        <v>379052.5</v>
      </c>
      <c r="C117" s="52">
        <v>47883.2</v>
      </c>
      <c r="D117" s="37">
        <v>183151</v>
      </c>
      <c r="E117" s="38">
        <v>15751.5</v>
      </c>
      <c r="F117" s="37">
        <v>37753.5</v>
      </c>
      <c r="G117" s="38">
        <v>1129.8</v>
      </c>
      <c r="H117" s="37">
        <f t="shared" si="6"/>
        <v>599957</v>
      </c>
      <c r="I117" s="37">
        <f t="shared" si="6"/>
        <v>64764.5</v>
      </c>
      <c r="J117" s="36">
        <f>+H117+I117-'[1]crédits par secteur'!M102</f>
        <v>0</v>
      </c>
      <c r="K117" s="40"/>
      <c r="L117" s="40"/>
    </row>
    <row r="118" spans="1:12" s="41" customFormat="1" ht="19.5" hidden="1">
      <c r="A118" s="35" t="s">
        <v>82</v>
      </c>
      <c r="B118" s="37">
        <v>386816.89999999997</v>
      </c>
      <c r="C118" s="52">
        <v>49632.5</v>
      </c>
      <c r="D118" s="37">
        <f>179564.7+3984.4</f>
        <v>183549.1</v>
      </c>
      <c r="E118" s="38">
        <v>15072.2</v>
      </c>
      <c r="F118" s="37">
        <v>44059</v>
      </c>
      <c r="G118" s="38">
        <v>1328</v>
      </c>
      <c r="H118" s="37">
        <f t="shared" si="6"/>
        <v>614425</v>
      </c>
      <c r="I118" s="37">
        <f t="shared" si="6"/>
        <v>66032.7</v>
      </c>
      <c r="J118" s="36">
        <f>+H118+I118-'[1]crédits par secteur'!M103</f>
        <v>0</v>
      </c>
      <c r="K118" s="40"/>
      <c r="L118" s="40"/>
    </row>
    <row r="119" spans="1:12" s="41" customFormat="1" ht="19.5" hidden="1">
      <c r="A119" s="35" t="s">
        <v>84</v>
      </c>
      <c r="B119" s="37">
        <v>383779.1</v>
      </c>
      <c r="C119" s="52">
        <v>49278</v>
      </c>
      <c r="D119" s="37">
        <v>181342.3</v>
      </c>
      <c r="E119" s="38">
        <v>15685.9</v>
      </c>
      <c r="F119" s="37">
        <v>45220.1</v>
      </c>
      <c r="G119" s="38">
        <v>1587</v>
      </c>
      <c r="H119" s="37">
        <f t="shared" si="6"/>
        <v>610341.4999999999</v>
      </c>
      <c r="I119" s="37">
        <f t="shared" si="6"/>
        <v>66550.9</v>
      </c>
      <c r="J119" s="36">
        <f>+H119+I119-'[1]crédits par secteur'!M104</f>
        <v>0</v>
      </c>
      <c r="K119" s="40"/>
      <c r="L119" s="40"/>
    </row>
    <row r="120" spans="1:12" s="41" customFormat="1" ht="19.5" hidden="1">
      <c r="A120" s="35" t="s">
        <v>94</v>
      </c>
      <c r="B120" s="37">
        <v>388185.39999999997</v>
      </c>
      <c r="C120" s="52">
        <v>51249.6</v>
      </c>
      <c r="D120" s="37">
        <v>181505</v>
      </c>
      <c r="E120" s="38">
        <v>15423.1</v>
      </c>
      <c r="F120" s="37">
        <v>43584.9</v>
      </c>
      <c r="G120" s="38">
        <v>1353.3</v>
      </c>
      <c r="H120" s="37">
        <f t="shared" si="6"/>
        <v>613275.2999999999</v>
      </c>
      <c r="I120" s="37">
        <f t="shared" si="6"/>
        <v>68026</v>
      </c>
      <c r="J120" s="36">
        <f>+H120+I120-'[1]crédits par secteur'!M105</f>
        <v>0</v>
      </c>
      <c r="K120" s="40"/>
      <c r="L120" s="40"/>
    </row>
    <row r="121" spans="1:12" s="41" customFormat="1" ht="19.5" hidden="1">
      <c r="A121" s="35" t="s">
        <v>95</v>
      </c>
      <c r="B121" s="37">
        <v>392023.10000000003</v>
      </c>
      <c r="C121" s="52">
        <v>51399.4</v>
      </c>
      <c r="D121" s="37">
        <v>192071.1</v>
      </c>
      <c r="E121" s="38">
        <v>15989.7</v>
      </c>
      <c r="F121" s="37">
        <v>34722.2</v>
      </c>
      <c r="G121" s="38">
        <v>1291.4</v>
      </c>
      <c r="H121" s="37">
        <f t="shared" si="6"/>
        <v>618816.4</v>
      </c>
      <c r="I121" s="37">
        <f t="shared" si="6"/>
        <v>68680.5</v>
      </c>
      <c r="J121" s="36">
        <f>+H121+I121-'[1]crédits par secteur'!M106</f>
        <v>0</v>
      </c>
      <c r="K121" s="40"/>
      <c r="L121" s="40"/>
    </row>
    <row r="122" spans="1:12" s="41" customFormat="1" ht="19.5" hidden="1">
      <c r="A122" s="35" t="s">
        <v>96</v>
      </c>
      <c r="B122" s="37">
        <v>377155.1</v>
      </c>
      <c r="C122" s="52">
        <v>54636.3</v>
      </c>
      <c r="D122" s="37">
        <v>210044.3</v>
      </c>
      <c r="E122" s="38">
        <v>17126</v>
      </c>
      <c r="F122" s="37">
        <v>37581.9</v>
      </c>
      <c r="G122" s="38">
        <v>1404</v>
      </c>
      <c r="H122" s="37">
        <f t="shared" si="6"/>
        <v>624781.2999999999</v>
      </c>
      <c r="I122" s="37">
        <f t="shared" si="6"/>
        <v>73166.3</v>
      </c>
      <c r="J122" s="36">
        <f>+H122+I122-'[1]crédits par secteur'!M107</f>
        <v>0</v>
      </c>
      <c r="K122" s="40"/>
      <c r="L122" s="40"/>
    </row>
    <row r="123" spans="1:12" s="41" customFormat="1" ht="19.5" hidden="1">
      <c r="A123" s="35" t="s">
        <v>97</v>
      </c>
      <c r="B123" s="37">
        <v>380085.69999999995</v>
      </c>
      <c r="C123" s="52">
        <v>52412.6</v>
      </c>
      <c r="D123" s="37">
        <v>209616.2</v>
      </c>
      <c r="E123" s="38">
        <v>19521</v>
      </c>
      <c r="F123" s="37">
        <v>36364</v>
      </c>
      <c r="G123" s="38">
        <v>1683.8</v>
      </c>
      <c r="H123" s="37">
        <f t="shared" si="6"/>
        <v>626065.8999999999</v>
      </c>
      <c r="I123" s="37">
        <f t="shared" si="6"/>
        <v>73617.40000000001</v>
      </c>
      <c r="J123" s="36">
        <f>+H123+I123-'[1]crédits par secteur'!M108</f>
        <v>0</v>
      </c>
      <c r="K123" s="40"/>
      <c r="L123" s="40"/>
    </row>
    <row r="124" spans="1:12" s="41" customFormat="1" ht="19.5" hidden="1">
      <c r="A124" s="35" t="s">
        <v>98</v>
      </c>
      <c r="B124" s="37">
        <v>390201.8</v>
      </c>
      <c r="C124" s="52">
        <v>51333.3</v>
      </c>
      <c r="D124" s="37">
        <v>204841.8</v>
      </c>
      <c r="E124" s="38">
        <v>18712.6</v>
      </c>
      <c r="F124" s="37">
        <v>50032.6</v>
      </c>
      <c r="G124" s="38">
        <v>1545.9</v>
      </c>
      <c r="H124" s="37">
        <f t="shared" si="6"/>
        <v>645076.2</v>
      </c>
      <c r="I124" s="37">
        <f t="shared" si="6"/>
        <v>71591.79999999999</v>
      </c>
      <c r="J124" s="36"/>
      <c r="K124" s="40"/>
      <c r="L124" s="40"/>
    </row>
    <row r="125" spans="1:12" s="41" customFormat="1" ht="19.5" hidden="1">
      <c r="A125" s="35" t="s">
        <v>99</v>
      </c>
      <c r="B125" s="37">
        <v>380750.9</v>
      </c>
      <c r="C125" s="52">
        <v>51013.1</v>
      </c>
      <c r="D125" s="37">
        <v>205870.3</v>
      </c>
      <c r="E125" s="38">
        <v>19271.3</v>
      </c>
      <c r="F125" s="37">
        <v>51950.5</v>
      </c>
      <c r="G125" s="38">
        <v>1315.3</v>
      </c>
      <c r="H125" s="37">
        <f t="shared" si="6"/>
        <v>638571.7</v>
      </c>
      <c r="I125" s="37">
        <f t="shared" si="6"/>
        <v>71599.7</v>
      </c>
      <c r="J125" s="36"/>
      <c r="K125" s="40"/>
      <c r="L125" s="40"/>
    </row>
    <row r="126" spans="1:12" s="41" customFormat="1" ht="19.5" hidden="1">
      <c r="A126" s="35" t="s">
        <v>100</v>
      </c>
      <c r="B126" s="37">
        <v>381853.5</v>
      </c>
      <c r="C126" s="52">
        <v>50242.7</v>
      </c>
      <c r="D126" s="37">
        <v>202867.2</v>
      </c>
      <c r="E126" s="38">
        <v>19246.5</v>
      </c>
      <c r="F126" s="37">
        <v>53487.9</v>
      </c>
      <c r="G126" s="38">
        <v>1316.2</v>
      </c>
      <c r="H126" s="37">
        <f t="shared" si="6"/>
        <v>638208.6</v>
      </c>
      <c r="I126" s="37">
        <f t="shared" si="6"/>
        <v>70805.4</v>
      </c>
      <c r="J126" s="36"/>
      <c r="K126" s="40"/>
      <c r="L126" s="40"/>
    </row>
    <row r="127" spans="1:12" s="41" customFormat="1" ht="19.5" hidden="1">
      <c r="A127" s="35" t="s">
        <v>101</v>
      </c>
      <c r="B127" s="37">
        <v>368888.5</v>
      </c>
      <c r="C127" s="52">
        <v>51587.7</v>
      </c>
      <c r="D127" s="37">
        <v>204539.7</v>
      </c>
      <c r="E127" s="38">
        <v>18513.8</v>
      </c>
      <c r="F127" s="37">
        <v>55677.6</v>
      </c>
      <c r="G127" s="38">
        <v>1092.2</v>
      </c>
      <c r="H127" s="37">
        <f t="shared" si="6"/>
        <v>629105.7999999999</v>
      </c>
      <c r="I127" s="37">
        <f t="shared" si="6"/>
        <v>71193.7</v>
      </c>
      <c r="J127" s="36"/>
      <c r="K127" s="40"/>
      <c r="L127" s="40"/>
    </row>
    <row r="128" spans="1:12" s="41" customFormat="1" ht="19.5">
      <c r="A128" s="35" t="s">
        <v>79</v>
      </c>
      <c r="B128" s="37">
        <f>463004.8-75471-22983.9-25046.9</f>
        <v>339502.99999999994</v>
      </c>
      <c r="C128" s="37">
        <f>75471+22983.9+25046.9</f>
        <v>123501.79999999999</v>
      </c>
      <c r="D128" s="37">
        <f>248138.3-15861.1-6792.6-2316.5</f>
        <v>223168.09999999998</v>
      </c>
      <c r="E128" s="37">
        <f>15861.1+6792.6+2316.5</f>
        <v>24970.2</v>
      </c>
      <c r="F128" s="37">
        <f>128719.4-4432.5-2946.8-2441.3</f>
        <v>118898.79999999999</v>
      </c>
      <c r="G128" s="37">
        <f>4432.5+2946.8+2441.3</f>
        <v>9820.6</v>
      </c>
      <c r="H128" s="37">
        <f t="shared" si="6"/>
        <v>681569.8999999999</v>
      </c>
      <c r="I128" s="37">
        <f t="shared" si="6"/>
        <v>158292.6</v>
      </c>
      <c r="J128" s="36"/>
      <c r="K128" s="40"/>
      <c r="L128" s="40"/>
    </row>
    <row r="129" spans="1:12" s="41" customFormat="1" ht="19.5">
      <c r="A129" s="35" t="s">
        <v>80</v>
      </c>
      <c r="B129" s="37">
        <f>439408.3-85706.4-22179.4-24230.3</f>
        <v>307292.2</v>
      </c>
      <c r="C129" s="37">
        <f>85706.4+22179.4+24230.3</f>
        <v>132116.09999999998</v>
      </c>
      <c r="D129" s="37">
        <f>237214.9-17107.2-6076.6-2021.7</f>
        <v>212009.39999999997</v>
      </c>
      <c r="E129" s="37">
        <f>17107.2+6076.6+2021.7</f>
        <v>25205.500000000004</v>
      </c>
      <c r="F129" s="37">
        <f>135154.2-4583.4-3366.6-1826.1</f>
        <v>125378.1</v>
      </c>
      <c r="G129" s="37">
        <f>4583.4+3366.6+1826.1</f>
        <v>9776.1</v>
      </c>
      <c r="H129" s="37">
        <f>B129+D129+F129</f>
        <v>644679.7</v>
      </c>
      <c r="I129" s="37">
        <f>C129+E129+G129</f>
        <v>167097.69999999998</v>
      </c>
      <c r="J129" s="36"/>
      <c r="K129" s="40"/>
      <c r="L129" s="40"/>
    </row>
    <row r="130" spans="1:12" s="41" customFormat="1" ht="19.5">
      <c r="A130" s="35"/>
      <c r="B130" s="37"/>
      <c r="C130" s="38"/>
      <c r="D130" s="37"/>
      <c r="E130" s="38"/>
      <c r="F130" s="37"/>
      <c r="G130" s="38"/>
      <c r="H130" s="37"/>
      <c r="I130" s="37"/>
      <c r="J130" s="36"/>
      <c r="K130" s="40"/>
      <c r="L130" s="40"/>
    </row>
    <row r="131" spans="1:12" s="41" customFormat="1" ht="19.5">
      <c r="A131" s="35" t="s">
        <v>126</v>
      </c>
      <c r="B131" s="37">
        <f>384724.4-34770.6-22292.6-20940.5</f>
        <v>306720.70000000007</v>
      </c>
      <c r="C131" s="37">
        <f>34770.6+22292.6+20940.5</f>
        <v>78003.7</v>
      </c>
      <c r="D131" s="37">
        <f>229541.8-1816.7-6844.9-7550.4</f>
        <v>213329.8</v>
      </c>
      <c r="E131" s="37">
        <f>1816.7+6844.9+7550.4</f>
        <v>16212</v>
      </c>
      <c r="F131" s="37">
        <f>136004.4-3753.4-1592.2-3205.3</f>
        <v>127453.5</v>
      </c>
      <c r="G131" s="37">
        <f>3753.4+1592.2+3205.3</f>
        <v>8550.900000000001</v>
      </c>
      <c r="H131" s="37">
        <f aca="true" t="shared" si="7" ref="H131:I133">B131+D131+F131</f>
        <v>647504</v>
      </c>
      <c r="I131" s="37">
        <f t="shared" si="7"/>
        <v>102766.6</v>
      </c>
      <c r="J131" s="36"/>
      <c r="K131" s="40"/>
      <c r="L131" s="40"/>
    </row>
    <row r="132" spans="1:12" s="41" customFormat="1" ht="19.5">
      <c r="A132" s="35" t="s">
        <v>78</v>
      </c>
      <c r="B132" s="37">
        <v>342927.4</v>
      </c>
      <c r="C132" s="37">
        <v>83049.6</v>
      </c>
      <c r="D132" s="37">
        <v>221911.9</v>
      </c>
      <c r="E132" s="37">
        <v>16973.8</v>
      </c>
      <c r="F132" s="37">
        <v>130820.8</v>
      </c>
      <c r="G132" s="37">
        <v>8404.5</v>
      </c>
      <c r="H132" s="37">
        <f t="shared" si="7"/>
        <v>695660.1000000001</v>
      </c>
      <c r="I132" s="37">
        <f t="shared" si="7"/>
        <v>108427.90000000001</v>
      </c>
      <c r="J132" s="36"/>
      <c r="K132" s="40"/>
      <c r="L132" s="40"/>
    </row>
    <row r="133" spans="1:12" s="41" customFormat="1" ht="19.5">
      <c r="A133" s="35" t="s">
        <v>79</v>
      </c>
      <c r="B133" s="37">
        <f>464136-55192.2-24642.5-15008.4</f>
        <v>369292.89999999997</v>
      </c>
      <c r="C133" s="37">
        <f>55192.2+24642.5+15008.4</f>
        <v>94843.09999999999</v>
      </c>
      <c r="D133" s="37">
        <f>236805.7-6714.3-3134.1-6164.9</f>
        <v>220792.40000000002</v>
      </c>
      <c r="E133" s="37">
        <f>6714.3+3134.1+6164.9</f>
        <v>16013.3</v>
      </c>
      <c r="F133" s="37">
        <f>135929.3-3790.7-2010.4-2541.5</f>
        <v>127586.69999999998</v>
      </c>
      <c r="G133" s="37">
        <f>3790.7+2010.4+2541.5</f>
        <v>8342.6</v>
      </c>
      <c r="H133" s="37">
        <f t="shared" si="7"/>
        <v>717672</v>
      </c>
      <c r="I133" s="37">
        <f t="shared" si="7"/>
        <v>119199</v>
      </c>
      <c r="J133" s="36"/>
      <c r="K133" s="40"/>
      <c r="L133" s="40"/>
    </row>
    <row r="134" spans="1:12" s="41" customFormat="1" ht="19.5">
      <c r="A134" s="35" t="s">
        <v>80</v>
      </c>
      <c r="B134" s="37">
        <f>427044.7-9513.5-17254.1-62926.5</f>
        <v>337350.60000000003</v>
      </c>
      <c r="C134" s="37">
        <f>9513.5+17254.1+62926.5</f>
        <v>89694.1</v>
      </c>
      <c r="D134" s="37">
        <f>218122.5-14394.9-1193.1-1403.2</f>
        <v>201131.3</v>
      </c>
      <c r="E134" s="37">
        <f>14394.9+1193.1+1403.2</f>
        <v>16991.2</v>
      </c>
      <c r="F134" s="37">
        <f>153032.9-2914.3-3052.6-3118.1</f>
        <v>143947.9</v>
      </c>
      <c r="G134" s="37">
        <f>2914.3+3052.6+3118.1</f>
        <v>9085</v>
      </c>
      <c r="H134" s="37">
        <f>B134+D134+F134</f>
        <v>682429.8</v>
      </c>
      <c r="I134" s="37">
        <f>C134+E134+G134</f>
        <v>115770.3</v>
      </c>
      <c r="J134" s="36"/>
      <c r="K134" s="40"/>
      <c r="L134" s="40"/>
    </row>
    <row r="135" spans="1:12" s="41" customFormat="1" ht="19.5">
      <c r="A135" s="35"/>
      <c r="B135" s="37"/>
      <c r="C135" s="38"/>
      <c r="D135" s="37"/>
      <c r="E135" s="38"/>
      <c r="F135" s="37"/>
      <c r="G135" s="38"/>
      <c r="H135" s="37"/>
      <c r="I135" s="37"/>
      <c r="J135" s="36"/>
      <c r="K135" s="40"/>
      <c r="L135" s="40"/>
    </row>
    <row r="136" spans="1:12" s="41" customFormat="1" ht="19.5" hidden="1">
      <c r="A136" s="35"/>
      <c r="B136" s="37"/>
      <c r="C136" s="52"/>
      <c r="D136" s="37"/>
      <c r="E136" s="38"/>
      <c r="F136" s="37"/>
      <c r="G136" s="38"/>
      <c r="H136" s="37"/>
      <c r="I136" s="37"/>
      <c r="J136" s="36"/>
      <c r="K136" s="40"/>
      <c r="L136" s="40"/>
    </row>
    <row r="137" spans="1:12" s="41" customFormat="1" ht="19.5" hidden="1">
      <c r="A137" s="35" t="s">
        <v>90</v>
      </c>
      <c r="B137" s="37">
        <f>369019.2+541.4</f>
        <v>369560.60000000003</v>
      </c>
      <c r="C137" s="52">
        <v>51676.2</v>
      </c>
      <c r="D137" s="37">
        <v>208067.2</v>
      </c>
      <c r="E137" s="38">
        <v>19406.5</v>
      </c>
      <c r="F137" s="37">
        <v>53607.1</v>
      </c>
      <c r="G137" s="38">
        <v>1386.9</v>
      </c>
      <c r="H137" s="37">
        <f t="shared" si="6"/>
        <v>631234.9</v>
      </c>
      <c r="I137" s="37">
        <f t="shared" si="6"/>
        <v>72469.59999999999</v>
      </c>
      <c r="J137" s="36"/>
      <c r="K137" s="40"/>
      <c r="L137" s="40"/>
    </row>
    <row r="138" spans="1:12" s="41" customFormat="1" ht="19.5" hidden="1">
      <c r="A138" s="35" t="s">
        <v>105</v>
      </c>
      <c r="B138" s="37">
        <f>365354.1+1991-21.9</f>
        <v>367323.19999999995</v>
      </c>
      <c r="C138" s="52">
        <v>57017.1</v>
      </c>
      <c r="D138" s="37">
        <v>206508.2</v>
      </c>
      <c r="E138" s="38">
        <v>19539.9</v>
      </c>
      <c r="F138" s="37">
        <v>53237.1</v>
      </c>
      <c r="G138" s="38">
        <v>1696.6</v>
      </c>
      <c r="H138" s="37">
        <f t="shared" si="6"/>
        <v>627068.4999999999</v>
      </c>
      <c r="I138" s="37">
        <f t="shared" si="6"/>
        <v>78253.6</v>
      </c>
      <c r="J138" s="36"/>
      <c r="K138" s="40"/>
      <c r="L138" s="40"/>
    </row>
    <row r="139" spans="1:12" s="41" customFormat="1" ht="19.5" hidden="1">
      <c r="A139" s="35" t="s">
        <v>106</v>
      </c>
      <c r="B139" s="37">
        <v>370708.3</v>
      </c>
      <c r="C139" s="52">
        <v>59422.4</v>
      </c>
      <c r="D139" s="37">
        <v>198876.4</v>
      </c>
      <c r="E139" s="38">
        <v>19390.3</v>
      </c>
      <c r="F139" s="37">
        <v>53754</v>
      </c>
      <c r="G139" s="38">
        <v>2068.3</v>
      </c>
      <c r="H139" s="37">
        <f aca="true" t="shared" si="8" ref="H139:I154">B139+D139+F139</f>
        <v>623338.7</v>
      </c>
      <c r="I139" s="37">
        <v>80880.9</v>
      </c>
      <c r="J139" s="36"/>
      <c r="K139" s="40"/>
      <c r="L139" s="40"/>
    </row>
    <row r="140" spans="1:12" s="41" customFormat="1" ht="19.5" hidden="1">
      <c r="A140" s="35" t="s">
        <v>109</v>
      </c>
      <c r="B140" s="37">
        <v>371875.8</v>
      </c>
      <c r="C140" s="52">
        <v>59330.3</v>
      </c>
      <c r="D140" s="37">
        <v>197166.3</v>
      </c>
      <c r="E140" s="38">
        <v>20220.6</v>
      </c>
      <c r="F140" s="37">
        <v>55546.7</v>
      </c>
      <c r="G140" s="38">
        <v>2461.4</v>
      </c>
      <c r="H140" s="37">
        <f t="shared" si="8"/>
        <v>624588.7999999999</v>
      </c>
      <c r="I140" s="37">
        <v>82012.3</v>
      </c>
      <c r="J140" s="36"/>
      <c r="K140" s="40"/>
      <c r="L140" s="40"/>
    </row>
    <row r="141" spans="1:12" s="41" customFormat="1" ht="19.5" hidden="1">
      <c r="A141" s="35" t="s">
        <v>110</v>
      </c>
      <c r="B141" s="37">
        <v>366695.2</v>
      </c>
      <c r="C141" s="52">
        <v>59344.4</v>
      </c>
      <c r="D141" s="37">
        <v>200235.1</v>
      </c>
      <c r="E141" s="38">
        <v>21664.2</v>
      </c>
      <c r="F141" s="37">
        <v>58300</v>
      </c>
      <c r="G141" s="38">
        <v>2440.1</v>
      </c>
      <c r="H141" s="37">
        <f t="shared" si="8"/>
        <v>625230.3</v>
      </c>
      <c r="I141" s="37">
        <v>83448.6</v>
      </c>
      <c r="J141" s="36"/>
      <c r="K141" s="40"/>
      <c r="L141" s="40"/>
    </row>
    <row r="142" spans="1:12" s="41" customFormat="1" ht="19.5" hidden="1">
      <c r="A142" s="35" t="s">
        <v>111</v>
      </c>
      <c r="B142" s="37">
        <v>377354.4</v>
      </c>
      <c r="C142" s="52">
        <v>66648.9</v>
      </c>
      <c r="D142" s="37">
        <v>199654.7</v>
      </c>
      <c r="E142" s="38">
        <v>22154.9</v>
      </c>
      <c r="F142" s="37">
        <v>65572.8</v>
      </c>
      <c r="G142" s="38">
        <v>2934.7</v>
      </c>
      <c r="H142" s="37">
        <f t="shared" si="8"/>
        <v>642581.9000000001</v>
      </c>
      <c r="I142" s="37">
        <v>91738.5</v>
      </c>
      <c r="J142" s="36"/>
      <c r="K142" s="40"/>
      <c r="L142" s="40"/>
    </row>
    <row r="143" spans="1:12" s="41" customFormat="1" ht="19.5" hidden="1">
      <c r="A143" s="49" t="s">
        <v>114</v>
      </c>
      <c r="B143" s="37">
        <v>357146.9</v>
      </c>
      <c r="C143" s="52">
        <v>66443.4</v>
      </c>
      <c r="D143" s="37">
        <v>208067.5</v>
      </c>
      <c r="E143" s="38">
        <v>24027.1</v>
      </c>
      <c r="F143" s="37">
        <v>88216</v>
      </c>
      <c r="G143" s="38">
        <v>2699.6</v>
      </c>
      <c r="H143" s="37">
        <f t="shared" si="8"/>
        <v>653430.4</v>
      </c>
      <c r="I143" s="37">
        <v>93170.1</v>
      </c>
      <c r="J143" s="36"/>
      <c r="K143" s="40"/>
      <c r="L143" s="40"/>
    </row>
    <row r="144" spans="1:12" s="41" customFormat="1" ht="19.5" hidden="1">
      <c r="A144" s="35" t="s">
        <v>113</v>
      </c>
      <c r="B144" s="37">
        <v>375156.8</v>
      </c>
      <c r="C144" s="52">
        <v>68228</v>
      </c>
      <c r="D144" s="37">
        <v>202740.4</v>
      </c>
      <c r="E144" s="38">
        <v>25245.3</v>
      </c>
      <c r="F144" s="37">
        <v>85603</v>
      </c>
      <c r="G144" s="38">
        <v>3627.2</v>
      </c>
      <c r="H144" s="37">
        <f t="shared" si="8"/>
        <v>663500.2</v>
      </c>
      <c r="I144" s="37">
        <v>97100.5</v>
      </c>
      <c r="J144" s="36"/>
      <c r="K144" s="40"/>
      <c r="L144" s="40"/>
    </row>
    <row r="145" spans="1:12" s="41" customFormat="1" ht="19.5" hidden="1">
      <c r="A145" s="35" t="s">
        <v>115</v>
      </c>
      <c r="B145" s="37">
        <v>356247.8</v>
      </c>
      <c r="C145" s="52">
        <v>69056.4</v>
      </c>
      <c r="D145" s="37">
        <v>209685.7</v>
      </c>
      <c r="E145" s="38">
        <v>25548.8</v>
      </c>
      <c r="F145" s="37">
        <v>85454.1</v>
      </c>
      <c r="G145" s="38">
        <v>4946.4</v>
      </c>
      <c r="H145" s="37">
        <f t="shared" si="8"/>
        <v>651387.6</v>
      </c>
      <c r="I145" s="37">
        <v>99551.6</v>
      </c>
      <c r="J145" s="36"/>
      <c r="K145" s="40"/>
      <c r="L145" s="40"/>
    </row>
    <row r="146" spans="1:12" s="41" customFormat="1" ht="19.5" hidden="1">
      <c r="A146" s="35" t="s">
        <v>116</v>
      </c>
      <c r="B146" s="37">
        <v>364476.7</v>
      </c>
      <c r="C146" s="52">
        <v>70903.2</v>
      </c>
      <c r="D146" s="37">
        <v>205949</v>
      </c>
      <c r="E146" s="38">
        <v>22905.5</v>
      </c>
      <c r="F146" s="37">
        <v>83774.5</v>
      </c>
      <c r="G146" s="38">
        <v>5628</v>
      </c>
      <c r="H146" s="37">
        <f t="shared" si="8"/>
        <v>654200.2</v>
      </c>
      <c r="I146" s="37">
        <v>99436.7</v>
      </c>
      <c r="J146" s="36"/>
      <c r="K146" s="40"/>
      <c r="L146" s="40"/>
    </row>
    <row r="147" spans="1:12" s="41" customFormat="1" ht="19.5" hidden="1">
      <c r="A147" s="35" t="s">
        <v>117</v>
      </c>
      <c r="B147" s="37">
        <v>372315</v>
      </c>
      <c r="C147" s="52">
        <v>73854</v>
      </c>
      <c r="D147" s="37">
        <v>204142.6</v>
      </c>
      <c r="E147" s="38">
        <v>23687.9</v>
      </c>
      <c r="F147" s="37">
        <v>87352.2</v>
      </c>
      <c r="G147" s="38">
        <v>5579.1</v>
      </c>
      <c r="H147" s="37">
        <v>663810.1</v>
      </c>
      <c r="I147" s="37">
        <v>103121</v>
      </c>
      <c r="J147" s="36"/>
      <c r="K147" s="40"/>
      <c r="L147" s="40"/>
    </row>
    <row r="148" spans="1:12" s="41" customFormat="1" ht="19.5" hidden="1">
      <c r="A148" s="35" t="s">
        <v>120</v>
      </c>
      <c r="B148" s="37">
        <v>374417.8</v>
      </c>
      <c r="C148" s="52">
        <v>69744.9</v>
      </c>
      <c r="D148" s="37">
        <v>219611.2</v>
      </c>
      <c r="E148" s="38">
        <v>24871</v>
      </c>
      <c r="F148" s="37">
        <v>125842.5</v>
      </c>
      <c r="G148" s="38">
        <v>4060.4</v>
      </c>
      <c r="H148" s="37">
        <f t="shared" si="8"/>
        <v>719871.5</v>
      </c>
      <c r="I148" s="37">
        <f t="shared" si="8"/>
        <v>98676.29999999999</v>
      </c>
      <c r="J148" s="36"/>
      <c r="K148" s="40"/>
      <c r="L148" s="40"/>
    </row>
    <row r="149" spans="1:12" s="41" customFormat="1" ht="19.5" hidden="1">
      <c r="A149" s="35"/>
      <c r="B149" s="37"/>
      <c r="C149" s="52"/>
      <c r="D149" s="37"/>
      <c r="E149" s="38"/>
      <c r="F149" s="37"/>
      <c r="G149" s="38"/>
      <c r="H149" s="37"/>
      <c r="I149" s="37"/>
      <c r="J149" s="36"/>
      <c r="K149" s="40"/>
      <c r="L149" s="40"/>
    </row>
    <row r="150" spans="1:12" s="41" customFormat="1" ht="19.5" hidden="1">
      <c r="A150" s="35" t="s">
        <v>92</v>
      </c>
      <c r="B150" s="37">
        <v>358153.1</v>
      </c>
      <c r="C150" s="52">
        <v>68604.9</v>
      </c>
      <c r="D150" s="37">
        <v>219481.2</v>
      </c>
      <c r="E150" s="38">
        <v>24091.3</v>
      </c>
      <c r="F150" s="37">
        <v>120507.1</v>
      </c>
      <c r="G150" s="38">
        <v>4273.3</v>
      </c>
      <c r="H150" s="37">
        <f t="shared" si="8"/>
        <v>698141.4</v>
      </c>
      <c r="I150" s="37">
        <f t="shared" si="8"/>
        <v>96969.5</v>
      </c>
      <c r="J150" s="36"/>
      <c r="K150" s="40"/>
      <c r="L150" s="40"/>
    </row>
    <row r="151" spans="1:12" s="41" customFormat="1" ht="19.5" hidden="1">
      <c r="A151" s="35" t="s">
        <v>124</v>
      </c>
      <c r="B151" s="37">
        <v>351850.2</v>
      </c>
      <c r="C151" s="52">
        <v>69343.1</v>
      </c>
      <c r="D151" s="37">
        <v>216195.2</v>
      </c>
      <c r="E151" s="38">
        <v>26039.9</v>
      </c>
      <c r="F151" s="37">
        <v>122148.1</v>
      </c>
      <c r="G151" s="38">
        <v>3985.8</v>
      </c>
      <c r="H151" s="37">
        <f t="shared" si="8"/>
        <v>690193.5</v>
      </c>
      <c r="I151" s="37">
        <f t="shared" si="8"/>
        <v>99368.8</v>
      </c>
      <c r="J151" s="36"/>
      <c r="K151" s="40"/>
      <c r="L151" s="40"/>
    </row>
    <row r="152" spans="1:12" s="41" customFormat="1" ht="19.5" hidden="1">
      <c r="A152" s="49" t="s">
        <v>125</v>
      </c>
      <c r="B152" s="37">
        <v>357572.6</v>
      </c>
      <c r="C152" s="52">
        <v>70480.7</v>
      </c>
      <c r="D152" s="37">
        <v>249972.7</v>
      </c>
      <c r="E152" s="38">
        <v>24221.3</v>
      </c>
      <c r="F152" s="37">
        <v>96022.8</v>
      </c>
      <c r="G152" s="38">
        <v>4178.1</v>
      </c>
      <c r="H152" s="37">
        <f t="shared" si="8"/>
        <v>703568.1000000001</v>
      </c>
      <c r="I152" s="37">
        <f t="shared" si="8"/>
        <v>98880.1</v>
      </c>
      <c r="J152" s="36"/>
      <c r="K152" s="40"/>
      <c r="L152" s="40"/>
    </row>
    <row r="153" spans="1:12" s="41" customFormat="1" ht="19.5" hidden="1">
      <c r="A153" s="35" t="s">
        <v>128</v>
      </c>
      <c r="B153" s="37">
        <v>366197.1</v>
      </c>
      <c r="C153" s="52">
        <v>75004.7</v>
      </c>
      <c r="D153" s="37">
        <v>266959.3</v>
      </c>
      <c r="E153" s="38">
        <v>24841.3</v>
      </c>
      <c r="F153" s="37">
        <v>99448.8</v>
      </c>
      <c r="G153" s="38">
        <v>4492.4</v>
      </c>
      <c r="H153" s="37">
        <f t="shared" si="8"/>
        <v>732605.2</v>
      </c>
      <c r="I153" s="37">
        <f t="shared" si="8"/>
        <v>104338.4</v>
      </c>
      <c r="J153" s="36"/>
      <c r="K153" s="40"/>
      <c r="L153" s="40"/>
    </row>
    <row r="154" spans="1:12" s="41" customFormat="1" ht="19.5" hidden="1">
      <c r="A154" s="35" t="s">
        <v>129</v>
      </c>
      <c r="B154" s="37">
        <v>367333.2</v>
      </c>
      <c r="C154" s="52">
        <v>76594.5</v>
      </c>
      <c r="D154" s="37">
        <v>249106.2</v>
      </c>
      <c r="E154" s="38">
        <v>27673.9</v>
      </c>
      <c r="F154" s="37">
        <v>98307.3</v>
      </c>
      <c r="G154" s="38">
        <v>5546.4</v>
      </c>
      <c r="H154" s="37">
        <f t="shared" si="8"/>
        <v>714746.7000000001</v>
      </c>
      <c r="I154" s="37">
        <f t="shared" si="8"/>
        <v>109814.79999999999</v>
      </c>
      <c r="J154" s="36"/>
      <c r="K154" s="40"/>
      <c r="L154" s="40"/>
    </row>
    <row r="155" spans="1:12" s="41" customFormat="1" ht="19.5" hidden="1">
      <c r="A155" s="35" t="s">
        <v>130</v>
      </c>
      <c r="B155" s="37">
        <v>375434.3</v>
      </c>
      <c r="C155" s="52">
        <v>75885.4</v>
      </c>
      <c r="D155" s="37">
        <v>233630.3</v>
      </c>
      <c r="E155" s="38">
        <v>29918.9</v>
      </c>
      <c r="F155" s="37">
        <v>97698.3</v>
      </c>
      <c r="G155" s="38">
        <v>7791.3</v>
      </c>
      <c r="H155" s="37">
        <f aca="true" t="shared" si="9" ref="H155:I160">B155+D155+F155</f>
        <v>706762.9</v>
      </c>
      <c r="I155" s="37">
        <f t="shared" si="9"/>
        <v>113595.59999999999</v>
      </c>
      <c r="J155" s="36"/>
      <c r="K155" s="40"/>
      <c r="L155" s="40"/>
    </row>
    <row r="156" spans="1:12" s="41" customFormat="1" ht="19.5" hidden="1">
      <c r="A156" s="35" t="s">
        <v>131</v>
      </c>
      <c r="B156" s="37">
        <v>367522.7</v>
      </c>
      <c r="C156" s="52">
        <v>79580.4</v>
      </c>
      <c r="D156" s="37">
        <v>243804.4</v>
      </c>
      <c r="E156" s="38">
        <v>27782.8</v>
      </c>
      <c r="F156" s="37">
        <v>95838.2</v>
      </c>
      <c r="G156" s="38">
        <v>10558.8</v>
      </c>
      <c r="H156" s="37">
        <f t="shared" si="9"/>
        <v>707165.2999999999</v>
      </c>
      <c r="I156" s="37">
        <f t="shared" si="9"/>
        <v>117922</v>
      </c>
      <c r="J156" s="36"/>
      <c r="K156" s="40"/>
      <c r="L156" s="40"/>
    </row>
    <row r="157" spans="1:12" s="41" customFormat="1" ht="19.5" hidden="1">
      <c r="A157" s="35" t="s">
        <v>132</v>
      </c>
      <c r="B157" s="37">
        <v>366499.7</v>
      </c>
      <c r="C157" s="52">
        <v>79250.5</v>
      </c>
      <c r="D157" s="37">
        <v>240078.4</v>
      </c>
      <c r="E157" s="38">
        <v>29033.3</v>
      </c>
      <c r="F157" s="37">
        <v>96958.3</v>
      </c>
      <c r="G157" s="38">
        <v>11096.8</v>
      </c>
      <c r="H157" s="37">
        <f t="shared" si="9"/>
        <v>703536.4</v>
      </c>
      <c r="I157" s="37">
        <f t="shared" si="9"/>
        <v>119380.6</v>
      </c>
      <c r="J157" s="36"/>
      <c r="K157" s="40"/>
      <c r="L157" s="40"/>
    </row>
    <row r="158" spans="1:12" s="41" customFormat="1" ht="19.5" hidden="1">
      <c r="A158" s="35" t="s">
        <v>79</v>
      </c>
      <c r="B158" s="37">
        <v>372566.5</v>
      </c>
      <c r="C158" s="52">
        <v>82109.6</v>
      </c>
      <c r="D158" s="37">
        <v>232921.3</v>
      </c>
      <c r="E158" s="38">
        <v>29296.4</v>
      </c>
      <c r="F158" s="37">
        <v>96986.8</v>
      </c>
      <c r="G158" s="38">
        <v>11016.2</v>
      </c>
      <c r="H158" s="37">
        <f t="shared" si="9"/>
        <v>702474.6000000001</v>
      </c>
      <c r="I158" s="37">
        <f t="shared" si="9"/>
        <v>122422.2</v>
      </c>
      <c r="J158" s="36"/>
      <c r="K158" s="40"/>
      <c r="L158" s="40"/>
    </row>
    <row r="159" spans="1:12" s="41" customFormat="1" ht="19.5" hidden="1">
      <c r="A159" s="49" t="s">
        <v>133</v>
      </c>
      <c r="B159" s="37">
        <v>368736.1</v>
      </c>
      <c r="C159" s="52">
        <v>78761.3</v>
      </c>
      <c r="D159" s="37">
        <v>233666.4</v>
      </c>
      <c r="E159" s="38">
        <v>28976.1</v>
      </c>
      <c r="F159" s="37">
        <v>99010.6</v>
      </c>
      <c r="G159" s="38">
        <v>11411.4</v>
      </c>
      <c r="H159" s="37">
        <f t="shared" si="9"/>
        <v>701413.1</v>
      </c>
      <c r="I159" s="37">
        <f t="shared" si="9"/>
        <v>119148.79999999999</v>
      </c>
      <c r="J159" s="36"/>
      <c r="K159" s="40"/>
      <c r="L159" s="40"/>
    </row>
    <row r="160" spans="1:12" s="41" customFormat="1" ht="19.5" hidden="1">
      <c r="A160" s="35" t="s">
        <v>134</v>
      </c>
      <c r="B160" s="37">
        <f>459268-60605.8-7769-3314.9</f>
        <v>387578.3</v>
      </c>
      <c r="C160" s="52">
        <f>60605.8+7769+3314.9</f>
        <v>71689.7</v>
      </c>
      <c r="D160" s="37">
        <f>243540.5-21733.1-2564.2-2189.8</f>
        <v>217053.4</v>
      </c>
      <c r="E160" s="36">
        <f>21733.1+2564.2+2189.8</f>
        <v>26487.1</v>
      </c>
      <c r="F160" s="37">
        <f>123902.6-4046.7-1775.4-2605.7</f>
        <v>115474.80000000002</v>
      </c>
      <c r="G160" s="37">
        <f>4046.7+1775.4+2605.7</f>
        <v>8427.8</v>
      </c>
      <c r="H160" s="37">
        <f t="shared" si="9"/>
        <v>720106.5</v>
      </c>
      <c r="I160" s="37">
        <f t="shared" si="9"/>
        <v>106604.59999999999</v>
      </c>
      <c r="J160" s="36"/>
      <c r="K160" s="40"/>
      <c r="L160" s="40"/>
    </row>
    <row r="161" spans="1:12" s="41" customFormat="1" ht="19.5" hidden="1">
      <c r="A161" s="35" t="s">
        <v>136</v>
      </c>
      <c r="B161" s="37">
        <f>447332.6-70161.5-30191-12389.1</f>
        <v>334591</v>
      </c>
      <c r="C161" s="52">
        <f>12389.1+30191+70161.5</f>
        <v>112741.6</v>
      </c>
      <c r="D161" s="37">
        <f>232038.2-14267.3-6629.2-845.3</f>
        <v>210296.40000000002</v>
      </c>
      <c r="E161" s="36">
        <f>14267.3+6629.2+845.3</f>
        <v>21741.8</v>
      </c>
      <c r="F161" s="37">
        <f>121728.6-2952.2-2107.3-1879.2</f>
        <v>114789.90000000001</v>
      </c>
      <c r="G161" s="37">
        <f>1879.2+2107.3+2952.2</f>
        <v>6938.7</v>
      </c>
      <c r="H161" s="37">
        <f>B161+D161+F161</f>
        <v>659677.3</v>
      </c>
      <c r="I161" s="37">
        <f>C161+E161+G161</f>
        <v>141422.1</v>
      </c>
      <c r="J161" s="36"/>
      <c r="K161" s="40"/>
      <c r="L161" s="40"/>
    </row>
    <row r="162" spans="1:12" s="41" customFormat="1" ht="19.5" hidden="1">
      <c r="A162" s="35"/>
      <c r="B162" s="37"/>
      <c r="C162" s="52"/>
      <c r="D162" s="37"/>
      <c r="E162" s="36"/>
      <c r="F162" s="37"/>
      <c r="G162" s="38"/>
      <c r="H162" s="37"/>
      <c r="I162" s="37"/>
      <c r="J162" s="36"/>
      <c r="K162" s="40"/>
      <c r="L162" s="40"/>
    </row>
    <row r="163" spans="1:12" s="41" customFormat="1" ht="19.5" hidden="1">
      <c r="A163" s="35" t="s">
        <v>103</v>
      </c>
      <c r="B163" s="37">
        <f>436277-51577-29526.5-12395</f>
        <v>342778.5</v>
      </c>
      <c r="C163" s="52">
        <f>12395+29526.5+51577</f>
        <v>93498.5</v>
      </c>
      <c r="D163" s="37">
        <f>249486.2-33081.8-7716.4-783.6</f>
        <v>207904.40000000002</v>
      </c>
      <c r="E163" s="36">
        <f>33081.8+7716.4+783.6</f>
        <v>41581.8</v>
      </c>
      <c r="F163" s="37">
        <f>124633.6-3381-2158.5-1779.4</f>
        <v>117314.70000000001</v>
      </c>
      <c r="G163" s="37">
        <f>1779.4+2158.5+3381</f>
        <v>7318.9</v>
      </c>
      <c r="H163" s="37">
        <f aca="true" t="shared" si="10" ref="H163:I166">B163+D163+F163</f>
        <v>667997.6000000001</v>
      </c>
      <c r="I163" s="37">
        <f t="shared" si="10"/>
        <v>142399.19999999998</v>
      </c>
      <c r="J163" s="36"/>
      <c r="K163" s="40"/>
      <c r="L163" s="40"/>
    </row>
    <row r="164" spans="1:12" s="41" customFormat="1" ht="19.5">
      <c r="A164" s="35" t="s">
        <v>138</v>
      </c>
      <c r="B164" s="37">
        <v>339918.1</v>
      </c>
      <c r="C164" s="52">
        <v>95447.3</v>
      </c>
      <c r="D164" s="37">
        <v>205002.5</v>
      </c>
      <c r="E164" s="36">
        <v>41799</v>
      </c>
      <c r="F164" s="37">
        <v>116397</v>
      </c>
      <c r="G164" s="37">
        <v>7355.1</v>
      </c>
      <c r="H164" s="37">
        <f t="shared" si="10"/>
        <v>661317.6</v>
      </c>
      <c r="I164" s="37">
        <f t="shared" si="10"/>
        <v>144601.4</v>
      </c>
      <c r="J164" s="36"/>
      <c r="K164" s="40"/>
      <c r="L164" s="40"/>
    </row>
    <row r="165" spans="1:12" s="41" customFormat="1" ht="19.5">
      <c r="A165" s="35" t="s">
        <v>91</v>
      </c>
      <c r="B165" s="37">
        <f>448532.9-82664.3-22962.8-10898.1</f>
        <v>332007.70000000007</v>
      </c>
      <c r="C165" s="52">
        <f>10898.1+22962.8+82664.3</f>
        <v>116525.20000000001</v>
      </c>
      <c r="D165" s="37">
        <f>235715.9-13664.8-6564.3-2479.2</f>
        <v>213007.6</v>
      </c>
      <c r="E165" s="36">
        <f>13664.8+6564.3+2479.2</f>
        <v>22708.3</v>
      </c>
      <c r="F165" s="37">
        <f>122935.7-3806.2-2068.4-1493</f>
        <v>115568.1</v>
      </c>
      <c r="G165" s="37">
        <f>3806.2+2068.4+1493</f>
        <v>7367.6</v>
      </c>
      <c r="H165" s="37">
        <f t="shared" si="10"/>
        <v>660583.4</v>
      </c>
      <c r="I165" s="37">
        <f t="shared" si="10"/>
        <v>146601.1</v>
      </c>
      <c r="J165" s="36"/>
      <c r="K165" s="40"/>
      <c r="L165" s="40"/>
    </row>
    <row r="166" spans="1:12" s="41" customFormat="1" ht="19.5">
      <c r="A166" s="35" t="s">
        <v>83</v>
      </c>
      <c r="B166" s="37">
        <v>329304.5</v>
      </c>
      <c r="C166" s="52">
        <v>98847.3</v>
      </c>
      <c r="D166" s="37">
        <v>213930.9</v>
      </c>
      <c r="E166" s="36">
        <v>42257.9</v>
      </c>
      <c r="F166" s="37">
        <v>113603.2</v>
      </c>
      <c r="G166" s="37">
        <v>7762.6</v>
      </c>
      <c r="H166" s="37">
        <v>656838.6</v>
      </c>
      <c r="I166" s="37">
        <f t="shared" si="10"/>
        <v>148867.80000000002</v>
      </c>
      <c r="J166" s="36"/>
      <c r="K166" s="40"/>
      <c r="L166" s="40"/>
    </row>
    <row r="167" spans="1:12" s="41" customFormat="1" ht="19.5">
      <c r="A167" s="35" t="s">
        <v>85</v>
      </c>
      <c r="B167" s="37">
        <f>428184.2-64747.7-26434.3-8563.3</f>
        <v>328438.9</v>
      </c>
      <c r="C167" s="36">
        <f>64747.7+26434.3+8563.3</f>
        <v>99745.3</v>
      </c>
      <c r="D167" s="37">
        <f>260415.6-33585.1-6605.6-3127.7</f>
        <v>217097.19999999998</v>
      </c>
      <c r="E167" s="37">
        <f>33585.1+6605.6+3127.7</f>
        <v>43318.399999999994</v>
      </c>
      <c r="F167" s="37">
        <f>122402.8-4290.6-1957.2-3592</f>
        <v>112563</v>
      </c>
      <c r="G167" s="37">
        <f>4290.6+1957.2+3592</f>
        <v>9839.8</v>
      </c>
      <c r="H167" s="37">
        <f aca="true" t="shared" si="11" ref="H167:I172">B167+D167+F167</f>
        <v>658099.1</v>
      </c>
      <c r="I167" s="37">
        <f t="shared" si="11"/>
        <v>152903.5</v>
      </c>
      <c r="J167" s="36"/>
      <c r="K167" s="40"/>
      <c r="L167" s="40"/>
    </row>
    <row r="168" spans="1:12" s="41" customFormat="1" ht="19.5">
      <c r="A168" s="35" t="s">
        <v>78</v>
      </c>
      <c r="B168" s="37">
        <f>452191.8-52264.6-26860.1-21198.6</f>
        <v>351868.50000000006</v>
      </c>
      <c r="C168" s="37">
        <f>21198.6+26860.1+52264.6</f>
        <v>100323.29999999999</v>
      </c>
      <c r="D168" s="37">
        <f>253196-33252.2-7488.4-3461.3</f>
        <v>208994.1</v>
      </c>
      <c r="E168" s="38">
        <f>3461.3+7488.4+33252.2</f>
        <v>44201.899999999994</v>
      </c>
      <c r="F168" s="37">
        <f>123720-4252.7-1779.8-3007.6</f>
        <v>114679.9</v>
      </c>
      <c r="G168" s="38">
        <f>3007.6+1779.8+4252.7</f>
        <v>9040.099999999999</v>
      </c>
      <c r="H168" s="37">
        <f t="shared" si="11"/>
        <v>675542.5000000001</v>
      </c>
      <c r="I168" s="37">
        <f t="shared" si="11"/>
        <v>153565.3</v>
      </c>
      <c r="J168" s="36"/>
      <c r="K168" s="40"/>
      <c r="L168" s="40"/>
    </row>
    <row r="169" spans="1:12" s="41" customFormat="1" ht="19.5">
      <c r="A169" s="35" t="s">
        <v>86</v>
      </c>
      <c r="B169" s="37">
        <f>464693.2-60094.2-26095.3-23266.5</f>
        <v>355237.2</v>
      </c>
      <c r="C169" s="37">
        <f>60094.2+26095.3+23266.5</f>
        <v>109456</v>
      </c>
      <c r="D169" s="37">
        <f>246377-33287.7-7225.5-1767.2</f>
        <v>204096.59999999998</v>
      </c>
      <c r="E169" s="38">
        <f>33287.7+7225.5+1767.2</f>
        <v>42280.399999999994</v>
      </c>
      <c r="F169" s="37">
        <f>117692.8-4534.5-1732.1-2929.5</f>
        <v>108496.7</v>
      </c>
      <c r="G169" s="38">
        <f>4534.5+1732.1+2929.5</f>
        <v>9196.1</v>
      </c>
      <c r="H169" s="37">
        <f t="shared" si="11"/>
        <v>667830.5</v>
      </c>
      <c r="I169" s="37">
        <f t="shared" si="11"/>
        <v>160932.5</v>
      </c>
      <c r="J169" s="36"/>
      <c r="K169" s="40"/>
      <c r="L169" s="40"/>
    </row>
    <row r="170" spans="1:12" s="41" customFormat="1" ht="19.5">
      <c r="A170" s="35" t="s">
        <v>87</v>
      </c>
      <c r="B170" s="37">
        <f>467335-63120.9-23114.4-22604.2</f>
        <v>358495.49999999994</v>
      </c>
      <c r="C170" s="37">
        <f>63120.9+23114.4+22604.2</f>
        <v>108839.5</v>
      </c>
      <c r="D170" s="37">
        <f>246430.2-33287.7-7225.5-1767.3</f>
        <v>204149.7</v>
      </c>
      <c r="E170" s="37">
        <f>33287.7+7225.5+1767.3</f>
        <v>42280.5</v>
      </c>
      <c r="F170" s="37">
        <f>118212.1-4534.5-1732.1-2929.5</f>
        <v>109016</v>
      </c>
      <c r="G170" s="37">
        <f>4534.5+1732.1+2929.5</f>
        <v>9196.1</v>
      </c>
      <c r="H170" s="37">
        <f t="shared" si="11"/>
        <v>671661.2</v>
      </c>
      <c r="I170" s="37">
        <f t="shared" si="11"/>
        <v>160316.1</v>
      </c>
      <c r="J170" s="36"/>
      <c r="K170" s="40"/>
      <c r="L170" s="40"/>
    </row>
    <row r="171" spans="1:12" s="41" customFormat="1" ht="19.5">
      <c r="A171" s="35" t="s">
        <v>79</v>
      </c>
      <c r="B171" s="37">
        <f>463004.8-75471-22983.9-25046.9</f>
        <v>339502.99999999994</v>
      </c>
      <c r="C171" s="37">
        <f>75471+22983.9+25046.9</f>
        <v>123501.79999999999</v>
      </c>
      <c r="D171" s="37">
        <f>248138.3-15861.1-6792.6-2316.5</f>
        <v>223168.09999999998</v>
      </c>
      <c r="E171" s="37">
        <f>15861.1+6792.6+2316.5</f>
        <v>24970.2</v>
      </c>
      <c r="F171" s="37">
        <f>128719.4-4432.5-2946.8-2441.3</f>
        <v>118898.79999999999</v>
      </c>
      <c r="G171" s="37">
        <f>4432.5+2946.8+2441.3</f>
        <v>9820.6</v>
      </c>
      <c r="H171" s="37">
        <f t="shared" si="11"/>
        <v>681569.8999999999</v>
      </c>
      <c r="I171" s="37">
        <f t="shared" si="11"/>
        <v>158292.6</v>
      </c>
      <c r="J171" s="36"/>
      <c r="K171" s="40"/>
      <c r="L171" s="40"/>
    </row>
    <row r="172" spans="1:12" s="41" customFormat="1" ht="19.5">
      <c r="A172" s="35" t="s">
        <v>88</v>
      </c>
      <c r="B172" s="37">
        <f>458239.9-77196.3-20065.5-25418.9</f>
        <v>335559.2</v>
      </c>
      <c r="C172" s="37">
        <f>77196.3+20065.5+25418.9</f>
        <v>122680.70000000001</v>
      </c>
      <c r="D172" s="37">
        <f>246143.7-16057.7-7166.9-1596.3</f>
        <v>221322.80000000002</v>
      </c>
      <c r="E172" s="37">
        <f>16057.7+7166.9+1596.3</f>
        <v>24820.899999999998</v>
      </c>
      <c r="F172" s="37">
        <f>130811.3-4272.1-2393.4-3014.1</f>
        <v>121131.7</v>
      </c>
      <c r="G172" s="37">
        <f>4272.1+2393.4+3014.1</f>
        <v>9679.6</v>
      </c>
      <c r="H172" s="37">
        <f t="shared" si="11"/>
        <v>678013.7</v>
      </c>
      <c r="I172" s="37">
        <f t="shared" si="11"/>
        <v>157181.2</v>
      </c>
      <c r="J172" s="36"/>
      <c r="K172" s="40"/>
      <c r="L172" s="40"/>
    </row>
    <row r="173" spans="1:12" s="41" customFormat="1" ht="19.5">
      <c r="A173" s="35" t="s">
        <v>89</v>
      </c>
      <c r="B173" s="37">
        <f>431650.7-72885.5-16269.4-25409.5</f>
        <v>317086.3</v>
      </c>
      <c r="C173" s="37">
        <f>72885.5+16269.4+25409.5</f>
        <v>114564.4</v>
      </c>
      <c r="D173" s="37">
        <f>263232.5-26940.1-6825.8-1495.6</f>
        <v>227971</v>
      </c>
      <c r="E173" s="37">
        <f>26940.1+6825.8+1495.6</f>
        <v>35261.5</v>
      </c>
      <c r="F173" s="37">
        <f>134044.5-4468.6-2436.6-2862.6</f>
        <v>124276.69999999998</v>
      </c>
      <c r="G173" s="37">
        <f>4468.6+2436.6+2862.6</f>
        <v>9767.800000000001</v>
      </c>
      <c r="H173" s="37">
        <f>B173+D173+F173</f>
        <v>669334</v>
      </c>
      <c r="I173" s="37">
        <f>C173+E173+G173</f>
        <v>159593.69999999998</v>
      </c>
      <c r="J173" s="36"/>
      <c r="K173" s="40"/>
      <c r="L173" s="40"/>
    </row>
    <row r="174" spans="1:12" s="41" customFormat="1" ht="19.5">
      <c r="A174" s="35" t="s">
        <v>80</v>
      </c>
      <c r="B174" s="37">
        <f>439408.3-85706.4-22179.4-24230.3</f>
        <v>307292.2</v>
      </c>
      <c r="C174" s="37">
        <f>85706.4+22179.4+24230.3</f>
        <v>132116.09999999998</v>
      </c>
      <c r="D174" s="37">
        <f>237214.9-17107.2-6076.6-2021.7</f>
        <v>212009.39999999997</v>
      </c>
      <c r="E174" s="37">
        <f>17107.2+6076.6+2021.7</f>
        <v>25205.500000000004</v>
      </c>
      <c r="F174" s="37">
        <f>135154.2-4583.4-3366.6-1826.1</f>
        <v>125378.1</v>
      </c>
      <c r="G174" s="37">
        <f>4583.4+3366.6+1826.1</f>
        <v>9776.1</v>
      </c>
      <c r="H174" s="37">
        <f>B174+D174+F174</f>
        <v>644679.7</v>
      </c>
      <c r="I174" s="37">
        <f>C174+E174+G174</f>
        <v>167097.69999999998</v>
      </c>
      <c r="J174" s="36"/>
      <c r="K174" s="40"/>
      <c r="L174" s="40"/>
    </row>
    <row r="175" spans="1:12" s="41" customFormat="1" ht="19.5">
      <c r="A175" s="35"/>
      <c r="B175" s="37"/>
      <c r="C175" s="37"/>
      <c r="D175" s="37"/>
      <c r="E175" s="37"/>
      <c r="F175" s="37"/>
      <c r="G175" s="37"/>
      <c r="H175" s="37"/>
      <c r="I175" s="37"/>
      <c r="J175" s="36"/>
      <c r="K175" s="40"/>
      <c r="L175" s="40"/>
    </row>
    <row r="176" spans="1:12" s="41" customFormat="1" ht="19.5">
      <c r="A176" s="35" t="s">
        <v>122</v>
      </c>
      <c r="B176" s="37">
        <v>293470.3</v>
      </c>
      <c r="C176" s="37">
        <v>131433.5</v>
      </c>
      <c r="D176" s="37">
        <v>215735.2</v>
      </c>
      <c r="E176" s="37">
        <v>25125.4</v>
      </c>
      <c r="F176" s="37">
        <v>128518.7</v>
      </c>
      <c r="G176" s="37">
        <f>5117+1947.9+2730.7</f>
        <v>9795.599999999999</v>
      </c>
      <c r="H176" s="37">
        <f aca="true" t="shared" si="12" ref="H176:I182">B176+D176+F176</f>
        <v>637724.2</v>
      </c>
      <c r="I176" s="37">
        <f t="shared" si="12"/>
        <v>166354.5</v>
      </c>
      <c r="J176" s="36"/>
      <c r="K176" s="40"/>
      <c r="L176" s="40"/>
    </row>
    <row r="177" spans="1:12" s="41" customFormat="1" ht="19.5">
      <c r="A177" s="35" t="s">
        <v>123</v>
      </c>
      <c r="B177" s="37">
        <v>298741.6</v>
      </c>
      <c r="C177" s="37">
        <v>87233</v>
      </c>
      <c r="D177" s="37">
        <v>210181.8</v>
      </c>
      <c r="E177" s="37">
        <v>14731.3</v>
      </c>
      <c r="F177" s="37">
        <v>130560</v>
      </c>
      <c r="G177" s="37">
        <v>10180</v>
      </c>
      <c r="H177" s="37">
        <f t="shared" si="12"/>
        <v>639483.3999999999</v>
      </c>
      <c r="I177" s="37">
        <f t="shared" si="12"/>
        <v>112144.3</v>
      </c>
      <c r="J177" s="36"/>
      <c r="K177" s="40"/>
      <c r="L177" s="40"/>
    </row>
    <row r="178" spans="1:12" s="41" customFormat="1" ht="19.5">
      <c r="A178" s="35" t="s">
        <v>91</v>
      </c>
      <c r="B178" s="37">
        <f>384724.4-34770.6-22292.6-20940.5</f>
        <v>306720.70000000007</v>
      </c>
      <c r="C178" s="37">
        <f>34770.6+22292.6+20940.5</f>
        <v>78003.7</v>
      </c>
      <c r="D178" s="37">
        <f>229541.8-1816.7-6844.9-7550.4</f>
        <v>213329.8</v>
      </c>
      <c r="E178" s="37">
        <f>1816.7+6844.9+7550.4</f>
        <v>16212</v>
      </c>
      <c r="F178" s="37">
        <f>136004.4-3753.4-1592.2-3205.3</f>
        <v>127453.5</v>
      </c>
      <c r="G178" s="37">
        <f>3753.4+1592.2+3205.3</f>
        <v>8550.900000000001</v>
      </c>
      <c r="H178" s="37">
        <f t="shared" si="12"/>
        <v>647504</v>
      </c>
      <c r="I178" s="37">
        <f t="shared" si="12"/>
        <v>102766.6</v>
      </c>
      <c r="J178" s="36"/>
      <c r="K178" s="40"/>
      <c r="L178" s="40"/>
    </row>
    <row r="179" spans="1:12" s="41" customFormat="1" ht="19.5">
      <c r="A179" s="35" t="s">
        <v>83</v>
      </c>
      <c r="B179" s="37">
        <v>295218</v>
      </c>
      <c r="C179" s="37">
        <v>81810.1</v>
      </c>
      <c r="D179" s="37">
        <v>215343.7</v>
      </c>
      <c r="E179" s="37">
        <v>17052.6</v>
      </c>
      <c r="F179" s="37">
        <v>131619.7</v>
      </c>
      <c r="G179" s="37">
        <v>7133.9</v>
      </c>
      <c r="H179" s="37">
        <f t="shared" si="12"/>
        <v>642181.4</v>
      </c>
      <c r="I179" s="37">
        <f t="shared" si="12"/>
        <v>105996.6</v>
      </c>
      <c r="J179" s="36"/>
      <c r="K179" s="40"/>
      <c r="L179" s="40"/>
    </row>
    <row r="180" spans="1:12" s="41" customFormat="1" ht="19.5">
      <c r="A180" s="35" t="s">
        <v>85</v>
      </c>
      <c r="B180" s="37">
        <v>302769.5</v>
      </c>
      <c r="C180" s="37">
        <v>81561.3</v>
      </c>
      <c r="D180" s="37">
        <v>219664.7</v>
      </c>
      <c r="E180" s="37">
        <v>17037.3</v>
      </c>
      <c r="F180" s="37">
        <v>132507.8</v>
      </c>
      <c r="G180" s="37">
        <v>8932.1</v>
      </c>
      <c r="H180" s="37">
        <f t="shared" si="12"/>
        <v>654942</v>
      </c>
      <c r="I180" s="37">
        <f t="shared" si="12"/>
        <v>107530.70000000001</v>
      </c>
      <c r="J180" s="36"/>
      <c r="K180" s="40"/>
      <c r="L180" s="40"/>
    </row>
    <row r="181" spans="1:12" s="41" customFormat="1" ht="19.5">
      <c r="A181" s="35" t="s">
        <v>78</v>
      </c>
      <c r="B181" s="37">
        <v>342927.4</v>
      </c>
      <c r="C181" s="37">
        <v>83049.6</v>
      </c>
      <c r="D181" s="37">
        <v>221911.9</v>
      </c>
      <c r="E181" s="37">
        <v>16973.8</v>
      </c>
      <c r="F181" s="37">
        <v>130820.8</v>
      </c>
      <c r="G181" s="37">
        <v>8404.5</v>
      </c>
      <c r="H181" s="37">
        <f t="shared" si="12"/>
        <v>695660.1000000001</v>
      </c>
      <c r="I181" s="37">
        <f t="shared" si="12"/>
        <v>108427.90000000001</v>
      </c>
      <c r="J181" s="36"/>
      <c r="K181" s="40"/>
      <c r="L181" s="40"/>
    </row>
    <row r="182" spans="1:12" s="41" customFormat="1" ht="19.5">
      <c r="A182" s="35" t="s">
        <v>86</v>
      </c>
      <c r="B182" s="37">
        <v>376010.4</v>
      </c>
      <c r="C182" s="37">
        <v>61423.1</v>
      </c>
      <c r="D182" s="37">
        <v>226823.6</v>
      </c>
      <c r="E182" s="37">
        <v>16830.9</v>
      </c>
      <c r="F182" s="37">
        <v>131138.5</v>
      </c>
      <c r="G182" s="37">
        <v>9117.5</v>
      </c>
      <c r="H182" s="37">
        <f t="shared" si="12"/>
        <v>733972.5</v>
      </c>
      <c r="I182" s="37">
        <f t="shared" si="12"/>
        <v>87371.5</v>
      </c>
      <c r="J182" s="36"/>
      <c r="K182" s="40"/>
      <c r="L182" s="40"/>
    </row>
    <row r="183" spans="1:12" s="41" customFormat="1" ht="19.5">
      <c r="A183" s="35" t="s">
        <v>87</v>
      </c>
      <c r="B183" s="37">
        <f>465426.9-43738.3-33089.4-12162.4</f>
        <v>376436.8</v>
      </c>
      <c r="C183" s="37">
        <f>43738.3+33089.4+12162.4</f>
        <v>88990.1</v>
      </c>
      <c r="D183" s="37">
        <f>226037.3-7358.2-3187.8-5841</f>
        <v>209650.3</v>
      </c>
      <c r="E183" s="37">
        <f>7358.2+3187.8+5841</f>
        <v>16387</v>
      </c>
      <c r="F183" s="37">
        <f>140975.2-3749.6-1744-3711.5</f>
        <v>131770.1</v>
      </c>
      <c r="G183" s="37">
        <f>3749.6+1744+3711.5</f>
        <v>9205.1</v>
      </c>
      <c r="H183" s="37">
        <f aca="true" t="shared" si="13" ref="H183:I185">B183+D183+F183</f>
        <v>717857.2</v>
      </c>
      <c r="I183" s="37">
        <f t="shared" si="13"/>
        <v>114582.20000000001</v>
      </c>
      <c r="J183" s="36"/>
      <c r="K183" s="40"/>
      <c r="L183" s="40"/>
    </row>
    <row r="184" spans="1:12" s="41" customFormat="1" ht="19.5">
      <c r="A184" s="35" t="s">
        <v>79</v>
      </c>
      <c r="B184" s="37">
        <f>464136-55192.2-24642.5-15008.4</f>
        <v>369292.89999999997</v>
      </c>
      <c r="C184" s="37">
        <f>55192.2+24642.5+15008.4</f>
        <v>94843.09999999999</v>
      </c>
      <c r="D184" s="37">
        <f>236805.7-6714.3-3134.1-6164.9</f>
        <v>220792.40000000002</v>
      </c>
      <c r="E184" s="37">
        <f>6714.3+3134.1+6164.9</f>
        <v>16013.3</v>
      </c>
      <c r="F184" s="37">
        <f>135929.3-3790.7-2010.4-2541.5</f>
        <v>127586.69999999998</v>
      </c>
      <c r="G184" s="37">
        <f>3790.7+2010.4+2541.5</f>
        <v>8342.6</v>
      </c>
      <c r="H184" s="37">
        <f t="shared" si="13"/>
        <v>717672</v>
      </c>
      <c r="I184" s="37">
        <f t="shared" si="13"/>
        <v>119199</v>
      </c>
      <c r="J184" s="36"/>
      <c r="K184" s="40"/>
      <c r="L184" s="40"/>
    </row>
    <row r="185" spans="1:12" s="41" customFormat="1" ht="19.5">
      <c r="A185" s="35" t="s">
        <v>88</v>
      </c>
      <c r="B185" s="37">
        <f>466731.9-57476.9-26321.7-11843.3</f>
        <v>371090</v>
      </c>
      <c r="C185" s="37">
        <f>57476.9+26321.7+11843.3</f>
        <v>95641.90000000001</v>
      </c>
      <c r="D185" s="37">
        <f>233750.1-6788.1-3085.8-6471.9</f>
        <v>217404.30000000002</v>
      </c>
      <c r="E185" s="37">
        <f>6788.1+3085.8+6471.9</f>
        <v>16345.800000000001</v>
      </c>
      <c r="F185" s="37">
        <f>148261.6-3506.1-2124.9-3075.5</f>
        <v>139555.1</v>
      </c>
      <c r="G185" s="37">
        <f>3506.1+2124.9+3075.5</f>
        <v>8706.5</v>
      </c>
      <c r="H185" s="37">
        <f t="shared" si="13"/>
        <v>728049.4</v>
      </c>
      <c r="I185" s="37">
        <f t="shared" si="13"/>
        <v>120694.20000000001</v>
      </c>
      <c r="J185" s="36"/>
      <c r="K185" s="40"/>
      <c r="L185" s="40"/>
    </row>
    <row r="186" spans="1:12" s="41" customFormat="1" ht="19.5">
      <c r="A186" s="35" t="s">
        <v>89</v>
      </c>
      <c r="B186" s="37">
        <f>471440.5-53471.1-28341.8-10235.9</f>
        <v>379391.7</v>
      </c>
      <c r="C186" s="37">
        <f>53471.1+28341.8+10235.9</f>
        <v>92048.79999999999</v>
      </c>
      <c r="D186" s="37">
        <f>236821.2-7511.3-7543.3-2519</f>
        <v>219247.60000000003</v>
      </c>
      <c r="E186" s="37">
        <f>7511.3+7543.3+2519</f>
        <v>17573.6</v>
      </c>
      <c r="F186" s="37">
        <f>144744.9-3494.3-2101.1-3583.6</f>
        <v>135565.9</v>
      </c>
      <c r="G186" s="37">
        <f>3494.3+2101.1+3583.6</f>
        <v>9179</v>
      </c>
      <c r="H186" s="37">
        <f>B186+D186+F186</f>
        <v>734205.2000000001</v>
      </c>
      <c r="I186" s="37">
        <f>C186+E186+G186</f>
        <v>118801.4</v>
      </c>
      <c r="J186" s="36"/>
      <c r="K186" s="40"/>
      <c r="L186" s="40"/>
    </row>
    <row r="187" spans="1:12" s="41" customFormat="1" ht="19.5">
      <c r="A187" s="35" t="s">
        <v>80</v>
      </c>
      <c r="B187" s="37">
        <f>427044.7-9513.5-17254.1-62926.5</f>
        <v>337350.60000000003</v>
      </c>
      <c r="C187" s="37">
        <f>9513.5+17254.1+62926.5</f>
        <v>89694.1</v>
      </c>
      <c r="D187" s="37">
        <f>218122.5-14394.9-1193.1-1403.2</f>
        <v>201131.3</v>
      </c>
      <c r="E187" s="37">
        <f>14394.9+1193.1+1403.2</f>
        <v>16991.2</v>
      </c>
      <c r="F187" s="37">
        <f>153032.9-2914.3-3052.6-3118.1</f>
        <v>143947.9</v>
      </c>
      <c r="G187" s="37">
        <f>2914.3+3052.6+3118.1</f>
        <v>9085</v>
      </c>
      <c r="H187" s="37">
        <f>B187+D187+F187</f>
        <v>682429.8</v>
      </c>
      <c r="I187" s="37">
        <f>C187+E187+G187</f>
        <v>115770.3</v>
      </c>
      <c r="J187" s="36"/>
      <c r="K187" s="40"/>
      <c r="L187" s="40"/>
    </row>
    <row r="188" spans="1:12" s="41" customFormat="1" ht="19.5">
      <c r="A188" s="35"/>
      <c r="B188" s="37"/>
      <c r="C188" s="37"/>
      <c r="D188" s="37"/>
      <c r="E188" s="37"/>
      <c r="F188" s="37"/>
      <c r="G188" s="37"/>
      <c r="H188" s="37"/>
      <c r="I188" s="37"/>
      <c r="J188" s="36"/>
      <c r="K188" s="40"/>
      <c r="L188" s="40"/>
    </row>
    <row r="189" spans="1:12" s="41" customFormat="1" ht="19.5">
      <c r="A189" s="35" t="s">
        <v>137</v>
      </c>
      <c r="B189" s="37">
        <f>118908.4+120689.3+34933.6+51433.4+6027.4+36.2+3134</f>
        <v>335162.30000000005</v>
      </c>
      <c r="C189" s="37">
        <f>9634.4+18105.7+60945.2</f>
        <v>88685.29999999999</v>
      </c>
      <c r="D189" s="37">
        <f>145003.4+31936+27641.6+317.2+3764.4</f>
        <v>208662.6</v>
      </c>
      <c r="E189" s="37">
        <f>12789.1+1298.2+2757.6</f>
        <v>16844.9</v>
      </c>
      <c r="F189" s="37">
        <f>58810.6+79523.3+1055.9</f>
        <v>139389.8</v>
      </c>
      <c r="G189" s="37">
        <f>2942.4+1827.2+2831.4</f>
        <v>7601</v>
      </c>
      <c r="H189" s="37">
        <f>B189+D189+F189</f>
        <v>683214.7</v>
      </c>
      <c r="I189" s="37">
        <f>C189+E189+G189</f>
        <v>113131.19999999998</v>
      </c>
      <c r="J189" s="36"/>
      <c r="K189" s="40"/>
      <c r="L189" s="40"/>
    </row>
    <row r="190" spans="1:12" s="41" customFormat="1" ht="19.5">
      <c r="A190" s="35" t="s">
        <v>123</v>
      </c>
      <c r="B190" s="37">
        <f>429837.2-9823.9-19557.1-58926.5</f>
        <v>341529.7</v>
      </c>
      <c r="C190" s="37">
        <f>9823.9+19557.1+58926.5</f>
        <v>88307.5</v>
      </c>
      <c r="D190" s="37">
        <f>227661.8-13788.9-1390.8-3073.6</f>
        <v>209408.5</v>
      </c>
      <c r="E190" s="37">
        <f>13788.9+1390.8+3073.6</f>
        <v>18253.3</v>
      </c>
      <c r="F190" s="37">
        <f>156690.1-3239.7-2355.1-2761.3</f>
        <v>148334</v>
      </c>
      <c r="G190" s="37">
        <f>3239.7+2355.1+2761.3</f>
        <v>8356.099999999999</v>
      </c>
      <c r="H190" s="37">
        <f>B190+D190+F190</f>
        <v>699272.2</v>
      </c>
      <c r="I190" s="37">
        <f>C190+E190+G190</f>
        <v>114916.9</v>
      </c>
      <c r="J190" s="36"/>
      <c r="K190" s="40"/>
      <c r="L190" s="40"/>
    </row>
    <row r="191" spans="1:12" s="41" customFormat="1" ht="19.5">
      <c r="A191" s="35"/>
      <c r="B191" s="37"/>
      <c r="C191" s="37"/>
      <c r="D191" s="37"/>
      <c r="E191" s="37"/>
      <c r="F191" s="37"/>
      <c r="G191" s="37"/>
      <c r="H191" s="37"/>
      <c r="I191" s="37"/>
      <c r="J191" s="36"/>
      <c r="K191" s="40"/>
      <c r="L191" s="40"/>
    </row>
    <row r="192" spans="1:12" ht="19.5">
      <c r="A192" s="56" t="s">
        <v>71</v>
      </c>
      <c r="B192" s="2"/>
      <c r="C192" s="2"/>
      <c r="D192" s="2"/>
      <c r="E192" s="2"/>
      <c r="F192" s="2"/>
      <c r="G192" s="2"/>
      <c r="H192" s="2"/>
      <c r="I192" s="34"/>
      <c r="J192" s="22"/>
      <c r="K192" s="27"/>
      <c r="L192"/>
    </row>
    <row r="193" spans="1:11" ht="19.5">
      <c r="A193" s="57" t="s">
        <v>73</v>
      </c>
      <c r="B193" s="29"/>
      <c r="C193" s="29"/>
      <c r="D193" s="29"/>
      <c r="E193" s="29"/>
      <c r="F193" s="29"/>
      <c r="G193" s="29"/>
      <c r="H193" s="29"/>
      <c r="I193" s="30"/>
      <c r="J193" s="22"/>
      <c r="K193" s="27"/>
    </row>
    <row r="194" spans="1:11" ht="19.5">
      <c r="A194" s="31"/>
      <c r="B194" s="22"/>
      <c r="C194" s="22"/>
      <c r="D194" s="22"/>
      <c r="E194" s="22"/>
      <c r="F194" s="22"/>
      <c r="G194" s="22"/>
      <c r="H194" s="22"/>
      <c r="I194" s="22"/>
      <c r="J194" s="4"/>
      <c r="K194" s="27"/>
    </row>
    <row r="195" spans="1:11" ht="19.5">
      <c r="A195" s="31"/>
      <c r="B195" s="22"/>
      <c r="C195" s="22"/>
      <c r="D195" s="22"/>
      <c r="E195" s="22"/>
      <c r="F195" s="22"/>
      <c r="G195" s="22"/>
      <c r="H195" s="22"/>
      <c r="I195" s="22"/>
      <c r="J195" s="4"/>
      <c r="K195" s="28"/>
    </row>
    <row r="196" spans="1:10" ht="19.5">
      <c r="A196" s="32"/>
      <c r="B196" s="22"/>
      <c r="C196" s="22"/>
      <c r="D196" s="22"/>
      <c r="E196" s="22"/>
      <c r="F196" s="22"/>
      <c r="G196" s="22"/>
      <c r="H196" s="22"/>
      <c r="I196" s="22"/>
      <c r="J196" s="4"/>
    </row>
    <row r="197" spans="1:10" ht="19.5">
      <c r="A197" s="31"/>
      <c r="B197" s="22"/>
      <c r="C197" s="22"/>
      <c r="D197" s="22"/>
      <c r="E197" s="22"/>
      <c r="F197" s="22"/>
      <c r="G197" s="22"/>
      <c r="H197" s="22"/>
      <c r="I197" s="22"/>
      <c r="J197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MPAWENAYO Jean Claude</cp:lastModifiedBy>
  <cp:lastPrinted>2017-07-12T13:43:45Z</cp:lastPrinted>
  <dcterms:created xsi:type="dcterms:W3CDTF">2001-01-09T08:45:38Z</dcterms:created>
  <dcterms:modified xsi:type="dcterms:W3CDTF">2018-05-04T09:36:16Z</dcterms:modified>
  <cp:category/>
  <cp:version/>
  <cp:contentType/>
  <cp:contentStatus/>
</cp:coreProperties>
</file>