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0680" windowHeight="8505" activeTab="0"/>
  </bookViews>
  <sheets>
    <sheet name="ii2-2sitbrbpassif" sheetId="1" r:id="rId1"/>
  </sheets>
  <definedNames>
    <definedName name="_xlnm.Print_Area" localSheetId="0">'ii2-2sitbrbpassif'!$A$1:$S$200</definedName>
  </definedNames>
  <calcPr fullCalcOnLoad="1"/>
</workbook>
</file>

<file path=xl/sharedStrings.xml><?xml version="1.0" encoding="utf-8"?>
<sst xmlns="http://schemas.openxmlformats.org/spreadsheetml/2006/main" count="377" uniqueCount="193">
  <si>
    <t xml:space="preserve"> </t>
  </si>
  <si>
    <t>PASSIF</t>
  </si>
  <si>
    <t>(en millions de BIF)</t>
  </si>
  <si>
    <t xml:space="preserve"> Dépôts à</t>
  </si>
  <si>
    <t xml:space="preserve">  Autres</t>
  </si>
  <si>
    <t>TOTAL</t>
  </si>
  <si>
    <t>Base monétaire</t>
  </si>
  <si>
    <t>l'impor-</t>
  </si>
  <si>
    <t xml:space="preserve">  passifs</t>
  </si>
  <si>
    <t>tation</t>
  </si>
  <si>
    <t xml:space="preserve">    Dépôts </t>
  </si>
  <si>
    <t xml:space="preserve"> Dépôts  </t>
  </si>
  <si>
    <t>Dépôts</t>
  </si>
  <si>
    <t xml:space="preserve">  Dépôts </t>
  </si>
  <si>
    <t>des</t>
  </si>
  <si>
    <t xml:space="preserve"> des sociétés</t>
  </si>
  <si>
    <t xml:space="preserve">        Total</t>
  </si>
  <si>
    <t xml:space="preserve">d'agences </t>
  </si>
  <si>
    <t>établissements</t>
  </si>
  <si>
    <t>à participation</t>
  </si>
  <si>
    <t>gouverne-</t>
  </si>
  <si>
    <t xml:space="preserve"> bancaire</t>
  </si>
  <si>
    <t xml:space="preserve"> financiers</t>
  </si>
  <si>
    <t xml:space="preserve"> publique</t>
  </si>
  <si>
    <t>mentales</t>
  </si>
  <si>
    <t xml:space="preserve">            Rubriques</t>
  </si>
  <si>
    <t>Période</t>
  </si>
  <si>
    <t xml:space="preserve">  Billets et</t>
  </si>
  <si>
    <t xml:space="preserve">  Pièces en</t>
  </si>
  <si>
    <t xml:space="preserve">  circulation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</si>
  <si>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</si>
  <si>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</si>
  <si>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</si>
  <si>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</si>
  <si>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</si>
  <si>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</si>
  <si>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</si>
  <si>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</si>
  <si>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</si>
  <si>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Reprise de </t>
  </si>
  <si>
    <t>liquidité</t>
  </si>
  <si>
    <t>-</t>
  </si>
  <si>
    <t>Total</t>
  </si>
  <si>
    <t>2008 janvier</t>
  </si>
  <si>
    <t>2008 mars</t>
  </si>
  <si>
    <t>2009 janvier</t>
  </si>
  <si>
    <t>2009 mars</t>
  </si>
  <si>
    <t>Engagements</t>
  </si>
  <si>
    <t>extérieurs</t>
  </si>
  <si>
    <t>2010 janvier</t>
  </si>
  <si>
    <t>2008 février</t>
  </si>
  <si>
    <t>2010 mars</t>
  </si>
  <si>
    <t>2008 avril</t>
  </si>
  <si>
    <t>2008 mai</t>
  </si>
  <si>
    <t>2008 juin</t>
  </si>
  <si>
    <t>2008 juillet</t>
  </si>
  <si>
    <t>2008 août</t>
  </si>
  <si>
    <t>Dépôts du secteur gouvernemental</t>
  </si>
  <si>
    <t>2008 septembre</t>
  </si>
  <si>
    <t>2008 octobre</t>
  </si>
  <si>
    <t>2008 novembre</t>
  </si>
  <si>
    <t>SITUATION MENSUELLE DE LA BANQUE DE LA REPUBLIQUE DU BURUNDI</t>
  </si>
  <si>
    <t xml:space="preserve">               PASSIF</t>
  </si>
  <si>
    <t>II.2.2</t>
  </si>
  <si>
    <t>2011 janvier</t>
  </si>
  <si>
    <t>2009 février</t>
  </si>
  <si>
    <t>2011 mars</t>
  </si>
  <si>
    <t>2009 avril</t>
  </si>
  <si>
    <t>2009 mai</t>
  </si>
  <si>
    <t>2009 juin</t>
  </si>
  <si>
    <t>2009 juillet</t>
  </si>
  <si>
    <t>2009 août</t>
  </si>
  <si>
    <t>2009 septembre</t>
  </si>
  <si>
    <t>2009 octobre</t>
  </si>
  <si>
    <t>2009 novembre</t>
  </si>
  <si>
    <t>2009 décembre</t>
  </si>
  <si>
    <t>2012 janvier</t>
  </si>
  <si>
    <t>2010 février</t>
  </si>
  <si>
    <t>Autres</t>
  </si>
  <si>
    <t xml:space="preserve">  dépôts</t>
  </si>
  <si>
    <t xml:space="preserve">          du secteur</t>
  </si>
  <si>
    <t>2012 mars</t>
  </si>
  <si>
    <t>2010 avril</t>
  </si>
  <si>
    <t>2010 mai</t>
  </si>
  <si>
    <t>2010 juin</t>
  </si>
  <si>
    <t>2010 juillet</t>
  </si>
  <si>
    <t>2010 août</t>
  </si>
  <si>
    <t>2010 septembre</t>
  </si>
  <si>
    <t>2010 octobre</t>
  </si>
  <si>
    <t>2010 novembre</t>
  </si>
  <si>
    <t>2010 décembre</t>
  </si>
  <si>
    <t>2013 janvier</t>
  </si>
  <si>
    <t>2012</t>
  </si>
  <si>
    <t>2011 février</t>
  </si>
  <si>
    <t>Capital et</t>
  </si>
  <si>
    <t>reserves</t>
  </si>
  <si>
    <t>Résultat</t>
  </si>
  <si>
    <t>microfinances</t>
  </si>
  <si>
    <t>2008 décembre</t>
  </si>
  <si>
    <t>locales</t>
  </si>
  <si>
    <t xml:space="preserve"> des </t>
  </si>
  <si>
    <t>administrations</t>
  </si>
  <si>
    <t xml:space="preserve">2008 </t>
  </si>
  <si>
    <t>2013</t>
  </si>
  <si>
    <t xml:space="preserve">2011   </t>
  </si>
  <si>
    <t xml:space="preserve">2010 </t>
  </si>
  <si>
    <t xml:space="preserve">2009 </t>
  </si>
  <si>
    <t>2013 mars</t>
  </si>
  <si>
    <t>2012 février</t>
  </si>
  <si>
    <t>2012 avril</t>
  </si>
  <si>
    <t>2012 mai</t>
  </si>
  <si>
    <t>2012 juin</t>
  </si>
  <si>
    <t>2012 juillet</t>
  </si>
  <si>
    <t>2012 août</t>
  </si>
  <si>
    <t>2012 septembre</t>
  </si>
  <si>
    <t>2011 septembre</t>
  </si>
  <si>
    <t>2012 octobre</t>
  </si>
  <si>
    <t>2012 novembre</t>
  </si>
  <si>
    <t>2012 décembre</t>
  </si>
  <si>
    <t>2014</t>
  </si>
  <si>
    <t>2013 février</t>
  </si>
  <si>
    <t xml:space="preserve">         Juin</t>
  </si>
  <si>
    <t xml:space="preserve">          Juin</t>
  </si>
  <si>
    <t xml:space="preserve">          Septembre</t>
  </si>
  <si>
    <t xml:space="preserve">          Décembre</t>
  </si>
  <si>
    <t>2014 Mars</t>
  </si>
  <si>
    <t>2015 Mars</t>
  </si>
  <si>
    <t>2013 Avril</t>
  </si>
  <si>
    <t>2014 Janvier</t>
  </si>
  <si>
    <t xml:space="preserve">         Septembre</t>
  </si>
  <si>
    <t xml:space="preserve">         Décembre</t>
  </si>
  <si>
    <t>2015 Janvier</t>
  </si>
  <si>
    <t>2013 Mai</t>
  </si>
  <si>
    <t>2013 Juin</t>
  </si>
  <si>
    <t>2012 Juin</t>
  </si>
  <si>
    <t>2013 Juillet</t>
  </si>
  <si>
    <t>2013 Août</t>
  </si>
  <si>
    <t>2013 Septembre</t>
  </si>
  <si>
    <t>2013 Octobre</t>
  </si>
  <si>
    <t>2013 Novembre</t>
  </si>
  <si>
    <t>2013 Décembre</t>
  </si>
  <si>
    <t>2012 Décembre</t>
  </si>
  <si>
    <t>2016 Janvier</t>
  </si>
  <si>
    <t>2015</t>
  </si>
  <si>
    <t>2014 Février</t>
  </si>
  <si>
    <t>2016 Mars</t>
  </si>
  <si>
    <t>2013 Mars</t>
  </si>
  <si>
    <t>2014 Avril</t>
  </si>
  <si>
    <t>2014 Mai</t>
  </si>
  <si>
    <t>2014 Juin</t>
  </si>
  <si>
    <t>2014 Août</t>
  </si>
  <si>
    <t>Juillet</t>
  </si>
  <si>
    <t>2014 Septembre</t>
  </si>
  <si>
    <t>2014 Octobre</t>
  </si>
  <si>
    <t>2014 Novembre</t>
  </si>
  <si>
    <t>2014 Décembre</t>
  </si>
  <si>
    <t>2016</t>
  </si>
  <si>
    <t>Source: BRB</t>
  </si>
  <si>
    <t>2017 Janvier</t>
  </si>
  <si>
    <t xml:space="preserve">            Février</t>
  </si>
  <si>
    <t>2015 Février</t>
  </si>
  <si>
    <t>2017 Mars</t>
  </si>
  <si>
    <t xml:space="preserve">            Mars</t>
  </si>
  <si>
    <t xml:space="preserve">            Avril</t>
  </si>
  <si>
    <t>2015 Avril</t>
  </si>
  <si>
    <t xml:space="preserve">            Mai</t>
  </si>
  <si>
    <t>2015 Mai</t>
  </si>
  <si>
    <t xml:space="preserve">l'Administration </t>
  </si>
  <si>
    <t>centrale</t>
  </si>
  <si>
    <t xml:space="preserve">  Dépôts de</t>
  </si>
  <si>
    <t xml:space="preserve">            Juin</t>
  </si>
  <si>
    <t>2015Juin</t>
  </si>
  <si>
    <t xml:space="preserve">            Juillet</t>
  </si>
  <si>
    <t>2015 Juillet</t>
  </si>
  <si>
    <t xml:space="preserve">            Août</t>
  </si>
  <si>
    <t>2015 Août</t>
  </si>
  <si>
    <t xml:space="preserve">            Septembre</t>
  </si>
  <si>
    <t xml:space="preserve">            Octobre</t>
  </si>
  <si>
    <t>2015 Octobre</t>
  </si>
  <si>
    <t xml:space="preserve">            Novembre</t>
  </si>
  <si>
    <t xml:space="preserve">            Décembre</t>
  </si>
  <si>
    <t>2015 Novembre</t>
  </si>
  <si>
    <t>2015 Décembre</t>
  </si>
  <si>
    <t>2017</t>
  </si>
  <si>
    <t>2018 Janvier</t>
  </si>
  <si>
    <t>2016 Février</t>
  </si>
  <si>
    <t xml:space="preserve">           Juin</t>
  </si>
  <si>
    <t xml:space="preserve">           Juillet</t>
  </si>
  <si>
    <t xml:space="preserve">           Août</t>
  </si>
  <si>
    <t xml:space="preserve">           Septembre</t>
  </si>
  <si>
    <t xml:space="preserve">           Octobre</t>
  </si>
  <si>
    <t xml:space="preserve">           Novembre</t>
  </si>
  <si>
    <t xml:space="preserve">           Décembre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</si>
</sst>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_);\(#,##0.0\)"/>
    <numFmt numFmtId="173" formatCode="#,##0.0"/>
  </numFmts>
  <fonts count="36">
    <font>
      <sz val="12"/>
      <name val="Helv"/>
      <family val="0"/>
    </font>
    <font>
      <sz val="11"/>
      <color indexed="8"/>
      <name val="Calibri"/>
      <family val="2"/>
    </font>
    <font>
      <b/>
      <sz val="12"/>
      <name val="Helv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0">
    <xf numFmtId="172" fontId="0" fillId="0" borderId="0" xfId="0" applyAlignment="1">
      <alignment/>
    </xf>
    <xf numFmtId="173" fontId="0" fillId="0" borderId="10" xfId="0" applyNumberFormat="1" applyFont="1" applyBorder="1" applyAlignment="1" applyProtection="1">
      <alignment horizontal="fill"/>
      <protection/>
    </xf>
    <xf numFmtId="173" fontId="0" fillId="0" borderId="11" xfId="0" applyNumberFormat="1" applyFont="1" applyBorder="1" applyAlignment="1" applyProtection="1">
      <alignment horizontal="fill"/>
      <protection/>
    </xf>
    <xf numFmtId="173" fontId="0" fillId="0" borderId="11" xfId="0" applyNumberFormat="1" applyFont="1" applyFill="1" applyBorder="1" applyAlignment="1" applyProtection="1">
      <alignment horizontal="fill"/>
      <protection/>
    </xf>
    <xf numFmtId="173" fontId="0" fillId="33" borderId="11" xfId="0" applyNumberFormat="1" applyFont="1" applyFill="1" applyBorder="1" applyAlignment="1" applyProtection="1">
      <alignment horizontal="fill"/>
      <protection/>
    </xf>
    <xf numFmtId="173" fontId="0" fillId="0" borderId="12" xfId="0" applyNumberFormat="1" applyFont="1" applyBorder="1" applyAlignment="1" applyProtection="1">
      <alignment horizontal="fill"/>
      <protection/>
    </xf>
    <xf numFmtId="173" fontId="0" fillId="0" borderId="0" xfId="0" applyNumberFormat="1" applyFont="1" applyAlignment="1">
      <alignment/>
    </xf>
    <xf numFmtId="173" fontId="0" fillId="0" borderId="13" xfId="0" applyNumberFormat="1" applyFont="1" applyBorder="1" applyAlignment="1" applyProtection="1">
      <alignment horizontal="left"/>
      <protection/>
    </xf>
    <xf numFmtId="173" fontId="0" fillId="0" borderId="0" xfId="0" applyNumberFormat="1" applyFont="1" applyBorder="1" applyAlignment="1" applyProtection="1">
      <alignment/>
      <protection/>
    </xf>
    <xf numFmtId="173" fontId="0" fillId="0" borderId="0" xfId="0" applyNumberFormat="1" applyFont="1" applyFill="1" applyBorder="1" applyAlignment="1" applyProtection="1">
      <alignment/>
      <protection/>
    </xf>
    <xf numFmtId="173" fontId="0" fillId="33" borderId="0" xfId="0" applyNumberFormat="1" applyFont="1" applyFill="1" applyBorder="1" applyAlignment="1" applyProtection="1">
      <alignment/>
      <protection/>
    </xf>
    <xf numFmtId="173" fontId="2" fillId="0" borderId="14" xfId="0" applyNumberFormat="1" applyFont="1" applyBorder="1" applyAlignment="1" applyProtection="1">
      <alignment/>
      <protection/>
    </xf>
    <xf numFmtId="173" fontId="0" fillId="0" borderId="14" xfId="0" applyNumberFormat="1" applyFont="1" applyBorder="1" applyAlignment="1" applyProtection="1">
      <alignment/>
      <protection/>
    </xf>
    <xf numFmtId="173" fontId="0" fillId="0" borderId="15" xfId="0" applyNumberFormat="1" applyFont="1" applyBorder="1" applyAlignment="1" applyProtection="1">
      <alignment horizontal="fill"/>
      <protection/>
    </xf>
    <xf numFmtId="173" fontId="0" fillId="0" borderId="16" xfId="0" applyNumberFormat="1" applyFont="1" applyBorder="1" applyAlignment="1" applyProtection="1">
      <alignment horizontal="fill"/>
      <protection/>
    </xf>
    <xf numFmtId="173" fontId="0" fillId="0" borderId="0" xfId="0" applyNumberFormat="1" applyFont="1" applyFill="1" applyBorder="1" applyAlignment="1" applyProtection="1">
      <alignment horizontal="fill"/>
      <protection/>
    </xf>
    <xf numFmtId="173" fontId="0" fillId="0" borderId="0" xfId="0" applyNumberFormat="1" applyFont="1" applyBorder="1" applyAlignment="1" applyProtection="1">
      <alignment horizontal="fill"/>
      <protection/>
    </xf>
    <xf numFmtId="173" fontId="0" fillId="0" borderId="16" xfId="0" applyNumberFormat="1" applyFont="1" applyFill="1" applyBorder="1" applyAlignment="1" applyProtection="1">
      <alignment horizontal="fill"/>
      <protection/>
    </xf>
    <xf numFmtId="173" fontId="0" fillId="33" borderId="0" xfId="0" applyNumberFormat="1" applyFont="1" applyFill="1" applyBorder="1" applyAlignment="1" applyProtection="1">
      <alignment horizontal="fill"/>
      <protection/>
    </xf>
    <xf numFmtId="173" fontId="0" fillId="0" borderId="17" xfId="0" applyNumberFormat="1" applyFont="1" applyBorder="1" applyAlignment="1" applyProtection="1">
      <alignment horizontal="fill"/>
      <protection/>
    </xf>
    <xf numFmtId="173" fontId="0" fillId="0" borderId="18" xfId="0" applyNumberFormat="1" applyFont="1" applyBorder="1" applyAlignment="1" applyProtection="1">
      <alignment/>
      <protection/>
    </xf>
    <xf numFmtId="173" fontId="0" fillId="0" borderId="11" xfId="0" applyNumberFormat="1" applyFont="1" applyBorder="1" applyAlignment="1" applyProtection="1">
      <alignment/>
      <protection/>
    </xf>
    <xf numFmtId="173" fontId="0" fillId="0" borderId="11" xfId="0" applyNumberFormat="1" applyFont="1" applyFill="1" applyBorder="1" applyAlignment="1" applyProtection="1">
      <alignment/>
      <protection/>
    </xf>
    <xf numFmtId="173" fontId="0" fillId="0" borderId="12" xfId="0" applyNumberFormat="1" applyFont="1" applyBorder="1" applyAlignment="1" applyProtection="1">
      <alignment/>
      <protection/>
    </xf>
    <xf numFmtId="173" fontId="0" fillId="0" borderId="10" xfId="0" applyNumberFormat="1" applyFont="1" applyFill="1" applyBorder="1" applyAlignment="1" applyProtection="1">
      <alignment/>
      <protection/>
    </xf>
    <xf numFmtId="173" fontId="0" fillId="0" borderId="18" xfId="0" applyNumberFormat="1" applyFont="1" applyBorder="1" applyAlignment="1" applyProtection="1">
      <alignment/>
      <protection/>
    </xf>
    <xf numFmtId="173" fontId="0" fillId="33" borderId="18" xfId="0" applyNumberFormat="1" applyFont="1" applyFill="1" applyBorder="1" applyAlignment="1" applyProtection="1">
      <alignment/>
      <protection/>
    </xf>
    <xf numFmtId="173" fontId="0" fillId="0" borderId="13" xfId="0" applyNumberFormat="1" applyFont="1" applyBorder="1" applyAlignment="1" applyProtection="1">
      <alignment horizontal="center"/>
      <protection/>
    </xf>
    <xf numFmtId="173" fontId="0" fillId="0" borderId="0" xfId="0" applyNumberFormat="1" applyFont="1" applyBorder="1" applyAlignment="1" applyProtection="1">
      <alignment horizontal="center"/>
      <protection/>
    </xf>
    <xf numFmtId="173" fontId="0" fillId="0" borderId="14" xfId="0" applyNumberFormat="1" applyFont="1" applyBorder="1" applyAlignment="1" applyProtection="1">
      <alignment horizontal="center"/>
      <protection/>
    </xf>
    <xf numFmtId="173" fontId="0" fillId="0" borderId="13" xfId="0" applyNumberFormat="1" applyFont="1" applyFill="1" applyBorder="1" applyAlignment="1" applyProtection="1">
      <alignment horizontal="center"/>
      <protection/>
    </xf>
    <xf numFmtId="173" fontId="0" fillId="0" borderId="19" xfId="0" applyNumberFormat="1" applyFont="1" applyBorder="1" applyAlignment="1">
      <alignment horizontal="center"/>
    </xf>
    <xf numFmtId="173" fontId="0" fillId="33" borderId="19" xfId="0" applyNumberFormat="1" applyFont="1" applyFill="1" applyBorder="1" applyAlignment="1">
      <alignment horizontal="center"/>
    </xf>
    <xf numFmtId="173" fontId="0" fillId="0" borderId="19" xfId="0" applyNumberFormat="1" applyFont="1" applyBorder="1" applyAlignment="1" applyProtection="1">
      <alignment horizontal="center"/>
      <protection/>
    </xf>
    <xf numFmtId="173" fontId="0" fillId="0" borderId="0" xfId="0" applyNumberFormat="1" applyFont="1" applyBorder="1" applyAlignment="1">
      <alignment/>
    </xf>
    <xf numFmtId="173" fontId="0" fillId="0" borderId="13" xfId="0" applyNumberFormat="1" applyFont="1" applyFill="1" applyBorder="1" applyAlignment="1" applyProtection="1">
      <alignment/>
      <protection/>
    </xf>
    <xf numFmtId="173" fontId="0" fillId="33" borderId="19" xfId="0" applyNumberFormat="1" applyFont="1" applyFill="1" applyBorder="1" applyAlignment="1" applyProtection="1">
      <alignment horizontal="center"/>
      <protection/>
    </xf>
    <xf numFmtId="173" fontId="0" fillId="0" borderId="19" xfId="0" applyNumberFormat="1" applyFont="1" applyBorder="1" applyAlignment="1" applyProtection="1">
      <alignment horizontal="fill"/>
      <protection/>
    </xf>
    <xf numFmtId="173" fontId="0" fillId="0" borderId="14" xfId="0" applyNumberFormat="1" applyFont="1" applyBorder="1" applyAlignment="1" applyProtection="1">
      <alignment horizontal="fill"/>
      <protection/>
    </xf>
    <xf numFmtId="173" fontId="0" fillId="0" borderId="13" xfId="0" applyNumberFormat="1" applyFont="1" applyFill="1" applyBorder="1" applyAlignment="1" applyProtection="1">
      <alignment horizontal="fill"/>
      <protection/>
    </xf>
    <xf numFmtId="173" fontId="0" fillId="0" borderId="16" xfId="0" applyNumberFormat="1" applyFont="1" applyBorder="1" applyAlignment="1" applyProtection="1">
      <alignment/>
      <protection/>
    </xf>
    <xf numFmtId="173" fontId="0" fillId="0" borderId="16" xfId="0" applyNumberFormat="1" applyFont="1" applyFill="1" applyBorder="1" applyAlignment="1" applyProtection="1">
      <alignment/>
      <protection/>
    </xf>
    <xf numFmtId="173" fontId="0" fillId="0" borderId="17" xfId="0" applyNumberFormat="1" applyFont="1" applyBorder="1" applyAlignment="1" applyProtection="1">
      <alignment/>
      <protection/>
    </xf>
    <xf numFmtId="173" fontId="0" fillId="0" borderId="15" xfId="0" applyNumberFormat="1" applyFont="1" applyFill="1" applyBorder="1" applyAlignment="1" applyProtection="1">
      <alignment/>
      <protection/>
    </xf>
    <xf numFmtId="173" fontId="0" fillId="0" borderId="19" xfId="0" applyNumberFormat="1" applyFont="1" applyBorder="1" applyAlignment="1" applyProtection="1">
      <alignment/>
      <protection/>
    </xf>
    <xf numFmtId="173" fontId="0" fillId="33" borderId="19" xfId="0" applyNumberFormat="1" applyFont="1" applyFill="1" applyBorder="1" applyAlignment="1" applyProtection="1">
      <alignment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173" fontId="0" fillId="0" borderId="11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Fill="1" applyBorder="1" applyAlignment="1" applyProtection="1">
      <alignment horizontal="center"/>
      <protection/>
    </xf>
    <xf numFmtId="173" fontId="0" fillId="0" borderId="10" xfId="0" applyNumberFormat="1" applyFont="1" applyBorder="1" applyAlignment="1" applyProtection="1">
      <alignment/>
      <protection/>
    </xf>
    <xf numFmtId="173" fontId="0" fillId="0" borderId="19" xfId="0" applyNumberFormat="1" applyFont="1" applyFill="1" applyBorder="1" applyAlignment="1" applyProtection="1">
      <alignment horizontal="center"/>
      <protection/>
    </xf>
    <xf numFmtId="173" fontId="0" fillId="0" borderId="19" xfId="0" applyNumberFormat="1" applyFont="1" applyBorder="1" applyAlignment="1" applyProtection="1">
      <alignment horizontal="centerContinuous"/>
      <protection/>
    </xf>
    <xf numFmtId="173" fontId="0" fillId="0" borderId="0" xfId="0" applyNumberFormat="1" applyFont="1" applyAlignment="1">
      <alignment horizontal="center"/>
    </xf>
    <xf numFmtId="173" fontId="0" fillId="0" borderId="13" xfId="0" applyNumberFormat="1" applyFont="1" applyBorder="1" applyAlignment="1">
      <alignment/>
    </xf>
    <xf numFmtId="173" fontId="0" fillId="0" borderId="19" xfId="0" applyNumberFormat="1" applyFont="1" applyBorder="1" applyAlignment="1">
      <alignment/>
    </xf>
    <xf numFmtId="173" fontId="0" fillId="0" borderId="13" xfId="0" applyNumberFormat="1" applyFont="1" applyBorder="1" applyAlignment="1" applyProtection="1">
      <alignment/>
      <protection/>
    </xf>
    <xf numFmtId="173" fontId="0" fillId="0" borderId="20" xfId="0" applyNumberFormat="1" applyFont="1" applyBorder="1" applyAlignment="1" applyProtection="1">
      <alignment horizontal="fill"/>
      <protection/>
    </xf>
    <xf numFmtId="173" fontId="0" fillId="0" borderId="20" xfId="0" applyNumberFormat="1" applyFont="1" applyBorder="1" applyAlignment="1" applyProtection="1">
      <alignment horizontal="center"/>
      <protection/>
    </xf>
    <xf numFmtId="173" fontId="0" fillId="0" borderId="16" xfId="0" applyNumberFormat="1" applyFont="1" applyBorder="1" applyAlignment="1" applyProtection="1">
      <alignment horizontal="center"/>
      <protection/>
    </xf>
    <xf numFmtId="173" fontId="0" fillId="0" borderId="20" xfId="0" applyNumberFormat="1" applyFont="1" applyFill="1" applyBorder="1" applyAlignment="1" applyProtection="1">
      <alignment horizontal="center"/>
      <protection/>
    </xf>
    <xf numFmtId="173" fontId="0" fillId="0" borderId="17" xfId="0" applyNumberFormat="1" applyFont="1" applyBorder="1" applyAlignment="1" applyProtection="1">
      <alignment horizontal="center"/>
      <protection/>
    </xf>
    <xf numFmtId="173" fontId="0" fillId="0" borderId="15" xfId="0" applyNumberFormat="1" applyFont="1" applyFill="1" applyBorder="1" applyAlignment="1" applyProtection="1">
      <alignment horizontal="fill"/>
      <protection/>
    </xf>
    <xf numFmtId="173" fontId="0" fillId="33" borderId="20" xfId="0" applyNumberFormat="1" applyFont="1" applyFill="1" applyBorder="1" applyAlignment="1" applyProtection="1">
      <alignment horizontal="fill"/>
      <protection/>
    </xf>
    <xf numFmtId="173" fontId="0" fillId="0" borderId="19" xfId="0" applyNumberFormat="1" applyFont="1" applyFill="1" applyBorder="1" applyAlignment="1" applyProtection="1">
      <alignment/>
      <protection/>
    </xf>
    <xf numFmtId="173" fontId="0" fillId="0" borderId="19" xfId="0" applyNumberFormat="1" applyFont="1" applyFill="1" applyBorder="1" applyAlignment="1">
      <alignment horizontal="right"/>
    </xf>
    <xf numFmtId="173" fontId="0" fillId="0" borderId="19" xfId="0" applyNumberFormat="1" applyFont="1" applyBorder="1" applyAlignment="1" applyProtection="1">
      <alignment horizontal="right"/>
      <protection/>
    </xf>
    <xf numFmtId="173" fontId="0" fillId="0" borderId="19" xfId="0" applyNumberFormat="1" applyFont="1" applyBorder="1" applyAlignment="1">
      <alignment horizontal="right"/>
    </xf>
    <xf numFmtId="173" fontId="0" fillId="0" borderId="0" xfId="0" applyNumberFormat="1" applyFont="1" applyBorder="1" applyAlignment="1" applyProtection="1">
      <alignment horizontal="right"/>
      <protection/>
    </xf>
    <xf numFmtId="173" fontId="0" fillId="33" borderId="19" xfId="0" applyNumberFormat="1" applyFont="1" applyFill="1" applyBorder="1" applyAlignment="1">
      <alignment horizontal="right"/>
    </xf>
    <xf numFmtId="173" fontId="0" fillId="0" borderId="14" xfId="0" applyNumberFormat="1" applyFont="1" applyBorder="1" applyAlignment="1" applyProtection="1">
      <alignment horizontal="right"/>
      <protection/>
    </xf>
    <xf numFmtId="173" fontId="0" fillId="0" borderId="19" xfId="0" applyNumberFormat="1" applyFont="1" applyFill="1" applyBorder="1" applyAlignment="1" applyProtection="1">
      <alignment horizontal="right"/>
      <protection/>
    </xf>
    <xf numFmtId="173" fontId="0" fillId="33" borderId="19" xfId="0" applyNumberFormat="1" applyFont="1" applyFill="1" applyBorder="1" applyAlignment="1" applyProtection="1">
      <alignment horizontal="right"/>
      <protection/>
    </xf>
    <xf numFmtId="173" fontId="0" fillId="0" borderId="0" xfId="0" applyNumberFormat="1" applyFont="1" applyBorder="1" applyAlignment="1">
      <alignment/>
    </xf>
    <xf numFmtId="173" fontId="0" fillId="33" borderId="14" xfId="0" applyNumberFormat="1" applyFont="1" applyFill="1" applyBorder="1" applyAlignment="1" applyProtection="1">
      <alignment horizontal="right"/>
      <protection/>
    </xf>
    <xf numFmtId="173" fontId="0" fillId="0" borderId="19" xfId="0" applyNumberFormat="1" applyFont="1" applyFill="1" applyBorder="1" applyAlignment="1" applyProtection="1" quotePrefix="1">
      <alignment horizontal="left"/>
      <protection/>
    </xf>
    <xf numFmtId="173" fontId="0" fillId="33" borderId="19" xfId="0" applyNumberFormat="1" applyFont="1" applyFill="1" applyBorder="1" applyAlignment="1" applyProtection="1" quotePrefix="1">
      <alignment horizontal="left"/>
      <protection/>
    </xf>
    <xf numFmtId="173" fontId="0" fillId="33" borderId="0" xfId="0" applyNumberFormat="1" applyFont="1" applyFill="1" applyBorder="1" applyAlignment="1">
      <alignment/>
    </xf>
    <xf numFmtId="173" fontId="0" fillId="33" borderId="19" xfId="0" applyNumberFormat="1" applyFont="1" applyFill="1" applyBorder="1" applyAlignment="1" applyProtection="1" quotePrefix="1">
      <alignment horizontal="right"/>
      <protection/>
    </xf>
    <xf numFmtId="173" fontId="0" fillId="0" borderId="19" xfId="0" applyNumberFormat="1" applyFont="1" applyBorder="1" applyAlignment="1" quotePrefix="1">
      <alignment horizontal="left"/>
    </xf>
    <xf numFmtId="173" fontId="0" fillId="0" borderId="14" xfId="0" applyNumberFormat="1" applyFont="1" applyFill="1" applyBorder="1" applyAlignment="1" applyProtection="1">
      <alignment horizontal="right"/>
      <protection/>
    </xf>
    <xf numFmtId="173" fontId="0" fillId="0" borderId="0" xfId="0" applyNumberFormat="1" applyFont="1" applyFill="1" applyBorder="1" applyAlignment="1">
      <alignment/>
    </xf>
    <xf numFmtId="173" fontId="0" fillId="0" borderId="19" xfId="0" applyNumberFormat="1" applyFont="1" applyBorder="1" applyAlignment="1">
      <alignment horizontal="left"/>
    </xf>
    <xf numFmtId="173" fontId="0" fillId="0" borderId="19" xfId="0" applyNumberFormat="1" applyFont="1" applyFill="1" applyBorder="1" applyAlignment="1">
      <alignment horizontal="left"/>
    </xf>
    <xf numFmtId="173" fontId="0" fillId="0" borderId="20" xfId="0" applyNumberFormat="1" applyFont="1" applyBorder="1" applyAlignment="1">
      <alignment horizontal="left"/>
    </xf>
    <xf numFmtId="173" fontId="0" fillId="0" borderId="17" xfId="0" applyNumberFormat="1" applyFont="1" applyBorder="1" applyAlignment="1" applyProtection="1">
      <alignment horizontal="right"/>
      <protection/>
    </xf>
    <xf numFmtId="173" fontId="0" fillId="0" borderId="20" xfId="0" applyNumberFormat="1" applyFont="1" applyBorder="1" applyAlignment="1" applyProtection="1">
      <alignment horizontal="right"/>
      <protection/>
    </xf>
    <xf numFmtId="173" fontId="0" fillId="0" borderId="20" xfId="0" applyNumberFormat="1" applyFont="1" applyFill="1" applyBorder="1" applyAlignment="1" applyProtection="1">
      <alignment horizontal="right"/>
      <protection/>
    </xf>
    <xf numFmtId="173" fontId="0" fillId="0" borderId="20" xfId="0" applyNumberFormat="1" applyFont="1" applyFill="1" applyBorder="1" applyAlignment="1">
      <alignment horizontal="right"/>
    </xf>
    <xf numFmtId="173" fontId="0" fillId="33" borderId="20" xfId="0" applyNumberFormat="1" applyFont="1" applyFill="1" applyBorder="1" applyAlignment="1" applyProtection="1">
      <alignment horizontal="right"/>
      <protection/>
    </xf>
    <xf numFmtId="173" fontId="0" fillId="33" borderId="17" xfId="0" applyNumberFormat="1" applyFont="1" applyFill="1" applyBorder="1" applyAlignment="1" applyProtection="1">
      <alignment horizontal="right"/>
      <protection/>
    </xf>
    <xf numFmtId="173" fontId="0" fillId="0" borderId="20" xfId="0" applyNumberFormat="1" applyFont="1" applyBorder="1" applyAlignment="1">
      <alignment horizontal="right"/>
    </xf>
    <xf numFmtId="173" fontId="0" fillId="0" borderId="0" xfId="0" applyNumberFormat="1" applyFont="1" applyFill="1" applyBorder="1" applyAlignment="1">
      <alignment/>
    </xf>
    <xf numFmtId="173" fontId="0" fillId="33" borderId="0" xfId="0" applyNumberFormat="1" applyFont="1" applyFill="1" applyBorder="1" applyAlignment="1">
      <alignment/>
    </xf>
    <xf numFmtId="173" fontId="0" fillId="0" borderId="0" xfId="0" applyNumberFormat="1" applyFont="1" applyAlignment="1">
      <alignment/>
    </xf>
    <xf numFmtId="173" fontId="0" fillId="0" borderId="0" xfId="0" applyNumberFormat="1" applyFont="1" applyFill="1" applyAlignment="1">
      <alignment/>
    </xf>
    <xf numFmtId="173" fontId="0" fillId="33" borderId="0" xfId="0" applyNumberFormat="1" applyFont="1" applyFill="1" applyAlignment="1">
      <alignment/>
    </xf>
    <xf numFmtId="173" fontId="0" fillId="0" borderId="0" xfId="0" applyNumberFormat="1" applyBorder="1" applyAlignment="1">
      <alignment/>
    </xf>
    <xf numFmtId="173" fontId="0" fillId="0" borderId="19" xfId="0" applyNumberFormat="1" applyBorder="1" applyAlignment="1">
      <alignment horizontal="left"/>
    </xf>
    <xf numFmtId="173" fontId="0" fillId="0" borderId="0" xfId="0" applyNumberFormat="1" applyFont="1" applyBorder="1" applyAlignment="1">
      <alignment horizontal="left"/>
    </xf>
    <xf numFmtId="173" fontId="0" fillId="0" borderId="10" xfId="0" applyNumberFormat="1" applyFont="1" applyBorder="1" applyAlignment="1">
      <alignment/>
    </xf>
    <xf numFmtId="173" fontId="0" fillId="0" borderId="11" xfId="0" applyNumberFormat="1" applyFont="1" applyBorder="1" applyAlignment="1">
      <alignment/>
    </xf>
    <xf numFmtId="173" fontId="0" fillId="0" borderId="11" xfId="0" applyNumberFormat="1" applyFont="1" applyFill="1" applyBorder="1" applyAlignment="1">
      <alignment/>
    </xf>
    <xf numFmtId="173" fontId="0" fillId="33" borderId="11" xfId="0" applyNumberFormat="1" applyFont="1" applyFill="1" applyBorder="1" applyAlignment="1">
      <alignment/>
    </xf>
    <xf numFmtId="173" fontId="0" fillId="0" borderId="12" xfId="0" applyNumberFormat="1" applyFont="1" applyBorder="1" applyAlignment="1">
      <alignment/>
    </xf>
    <xf numFmtId="173" fontId="0" fillId="0" borderId="16" xfId="0" applyNumberFormat="1" applyFont="1" applyBorder="1" applyAlignment="1">
      <alignment horizontal="centerContinuous"/>
    </xf>
    <xf numFmtId="173" fontId="0" fillId="0" borderId="16" xfId="0" applyNumberFormat="1" applyFont="1" applyFill="1" applyBorder="1" applyAlignment="1">
      <alignment horizontal="centerContinuous"/>
    </xf>
    <xf numFmtId="173" fontId="0" fillId="33" borderId="16" xfId="0" applyNumberFormat="1" applyFont="1" applyFill="1" applyBorder="1" applyAlignment="1">
      <alignment horizontal="centerContinuous"/>
    </xf>
    <xf numFmtId="173" fontId="0" fillId="0" borderId="17" xfId="0" applyNumberFormat="1" applyFont="1" applyBorder="1" applyAlignment="1">
      <alignment horizontal="centerContinuous"/>
    </xf>
    <xf numFmtId="173" fontId="0" fillId="33" borderId="19" xfId="0" applyNumberFormat="1" applyFont="1" applyFill="1" applyBorder="1" applyAlignment="1" applyProtection="1">
      <alignment horizontal="right"/>
      <protection/>
    </xf>
    <xf numFmtId="173" fontId="0" fillId="33" borderId="14" xfId="0" applyNumberFormat="1" applyFont="1" applyFill="1" applyBorder="1" applyAlignment="1" applyProtection="1">
      <alignment horizontal="right"/>
      <protection/>
    </xf>
    <xf numFmtId="173" fontId="0" fillId="33" borderId="19" xfId="0" applyNumberFormat="1" applyFont="1" applyFill="1" applyBorder="1" applyAlignment="1" applyProtection="1" quotePrefix="1">
      <alignment horizontal="right"/>
      <protection/>
    </xf>
    <xf numFmtId="173" fontId="2" fillId="0" borderId="15" xfId="0" applyNumberFormat="1" applyFont="1" applyBorder="1" applyAlignment="1">
      <alignment/>
    </xf>
    <xf numFmtId="173" fontId="2" fillId="0" borderId="18" xfId="0" applyNumberFormat="1" applyFont="1" applyBorder="1" applyAlignment="1" applyProtection="1">
      <alignment/>
      <protection/>
    </xf>
    <xf numFmtId="173" fontId="2" fillId="0" borderId="19" xfId="0" applyNumberFormat="1" applyFont="1" applyBorder="1" applyAlignment="1" applyProtection="1">
      <alignment/>
      <protection/>
    </xf>
    <xf numFmtId="173" fontId="2" fillId="0" borderId="19" xfId="0" applyNumberFormat="1" applyFont="1" applyBorder="1" applyAlignment="1" applyProtection="1">
      <alignment horizontal="fill"/>
      <protection/>
    </xf>
    <xf numFmtId="173" fontId="2" fillId="0" borderId="19" xfId="0" applyNumberFormat="1" applyFont="1" applyBorder="1" applyAlignment="1">
      <alignment/>
    </xf>
    <xf numFmtId="173" fontId="2" fillId="0" borderId="13" xfId="0" applyNumberFormat="1" applyFont="1" applyBorder="1" applyAlignment="1" applyProtection="1">
      <alignment horizontal="left"/>
      <protection/>
    </xf>
    <xf numFmtId="173" fontId="2" fillId="0" borderId="19" xfId="0" applyNumberFormat="1" applyFont="1" applyBorder="1" applyAlignment="1" applyProtection="1">
      <alignment horizontal="center"/>
      <protection/>
    </xf>
    <xf numFmtId="173" fontId="0" fillId="0" borderId="0" xfId="0" applyNumberFormat="1" applyFont="1" applyFill="1" applyBorder="1" applyAlignment="1" applyProtection="1">
      <alignment horizontal="right"/>
      <protection/>
    </xf>
    <xf numFmtId="173" fontId="3" fillId="0" borderId="19" xfId="0" applyNumberFormat="1" applyFont="1" applyFill="1" applyBorder="1" applyAlignment="1" applyProtection="1">
      <alignment horizontal="right"/>
      <protection/>
    </xf>
    <xf numFmtId="173" fontId="3" fillId="0" borderId="0" xfId="0" applyNumberFormat="1" applyFont="1" applyFill="1" applyBorder="1" applyAlignment="1" applyProtection="1">
      <alignment horizontal="right"/>
      <protection/>
    </xf>
    <xf numFmtId="173" fontId="0" fillId="0" borderId="13" xfId="0" applyNumberFormat="1" applyFont="1" applyFill="1" applyBorder="1" applyAlignment="1" applyProtection="1">
      <alignment horizontal="center"/>
      <protection/>
    </xf>
    <xf numFmtId="173" fontId="0" fillId="0" borderId="0" xfId="0" applyNumberFormat="1" applyFont="1" applyFill="1" applyBorder="1" applyAlignment="1" applyProtection="1">
      <alignment horizontal="center"/>
      <protection/>
    </xf>
    <xf numFmtId="173" fontId="0" fillId="0" borderId="14" xfId="0" applyNumberFormat="1" applyFont="1" applyFill="1" applyBorder="1" applyAlignment="1" applyProtection="1">
      <alignment horizontal="center"/>
      <protection/>
    </xf>
    <xf numFmtId="173" fontId="0" fillId="0" borderId="13" xfId="0" applyNumberFormat="1" applyFont="1" applyBorder="1" applyAlignment="1" applyProtection="1">
      <alignment horizontal="center"/>
      <protection/>
    </xf>
    <xf numFmtId="173" fontId="0" fillId="0" borderId="0" xfId="0" applyNumberFormat="1" applyFont="1" applyBorder="1" applyAlignment="1" applyProtection="1">
      <alignment horizontal="center"/>
      <protection/>
    </xf>
    <xf numFmtId="173" fontId="0" fillId="0" borderId="14" xfId="0" applyNumberFormat="1" applyFont="1" applyBorder="1" applyAlignment="1" applyProtection="1">
      <alignment horizontal="center"/>
      <protection/>
    </xf>
    <xf numFmtId="173" fontId="2" fillId="0" borderId="13" xfId="0" applyNumberFormat="1" applyFont="1" applyBorder="1" applyAlignment="1" applyProtection="1">
      <alignment horizontal="center"/>
      <protection/>
    </xf>
    <xf numFmtId="173" fontId="2" fillId="0" borderId="0" xfId="0" applyNumberFormat="1" applyFont="1" applyBorder="1" applyAlignment="1" applyProtection="1">
      <alignment horizontal="center"/>
      <protection/>
    </xf>
    <xf numFmtId="173" fontId="2" fillId="0" borderId="14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0</xdr:col>
      <xdr:colOff>1485900</xdr:colOff>
      <xdr:row>16</xdr:row>
      <xdr:rowOff>142875</xdr:rowOff>
    </xdr:to>
    <xdr:sp>
      <xdr:nvSpPr>
        <xdr:cNvPr id="1" name="Line 3"/>
        <xdr:cNvSpPr>
          <a:spLocks/>
        </xdr:cNvSpPr>
      </xdr:nvSpPr>
      <xdr:spPr>
        <a:xfrm>
          <a:off x="9525" y="1209675"/>
          <a:ext cx="1476375" cy="213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202"/>
  <sheetViews>
    <sheetView showGridLines="0" tabSelected="1" view="pageBreakPreview" zoomScale="60" zoomScaleNormal="80" zoomScalePageLayoutView="0" workbookViewId="0" topLeftCell="A1">
      <pane xSplit="1" ySplit="17" topLeftCell="B52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E170" sqref="E170"/>
    </sheetView>
  </sheetViews>
  <sheetFormatPr defaultColWidth="11.5546875" defaultRowHeight="15.75"/>
  <cols>
    <col min="1" max="1" width="17.3359375" style="6" customWidth="1"/>
    <col min="2" max="2" width="12.6640625" style="93" customWidth="1"/>
    <col min="3" max="3" width="13.99609375" style="93" bestFit="1" customWidth="1"/>
    <col min="4" max="4" width="16.4453125" style="93" customWidth="1"/>
    <col min="5" max="5" width="15.3359375" style="93" customWidth="1"/>
    <col min="6" max="6" width="14.6640625" style="93" customWidth="1"/>
    <col min="7" max="7" width="16.3359375" style="94" customWidth="1"/>
    <col min="8" max="8" width="12.6640625" style="94" customWidth="1"/>
    <col min="9" max="9" width="11.77734375" style="93" customWidth="1"/>
    <col min="10" max="10" width="14.3359375" style="94" bestFit="1" customWidth="1"/>
    <col min="11" max="11" width="11.5546875" style="93" customWidth="1"/>
    <col min="12" max="12" width="12.4453125" style="93" customWidth="1"/>
    <col min="13" max="13" width="12.21484375" style="93" customWidth="1"/>
    <col min="14" max="14" width="11.10546875" style="93" customWidth="1"/>
    <col min="15" max="15" width="15.99609375" style="93" customWidth="1"/>
    <col min="16" max="16" width="10.10546875" style="95" bestFit="1" customWidth="1"/>
    <col min="17" max="17" width="9.3359375" style="92" bestFit="1" customWidth="1"/>
    <col min="18" max="18" width="12.88671875" style="93" customWidth="1"/>
    <col min="19" max="19" width="12.99609375" style="93" customWidth="1"/>
    <col min="20" max="16384" width="11.5546875" style="6" customWidth="1"/>
  </cols>
  <sheetData>
    <row r="1" spans="1:19" ht="15.75">
      <c r="A1" s="1"/>
      <c r="B1" s="2"/>
      <c r="C1" s="2"/>
      <c r="D1" s="2"/>
      <c r="E1" s="2"/>
      <c r="F1" s="2"/>
      <c r="G1" s="3"/>
      <c r="H1" s="3"/>
      <c r="I1" s="2"/>
      <c r="J1" s="3"/>
      <c r="K1" s="2"/>
      <c r="L1" s="2"/>
      <c r="M1" s="2"/>
      <c r="N1" s="2"/>
      <c r="O1" s="2"/>
      <c r="P1" s="4"/>
      <c r="Q1" s="4"/>
      <c r="R1" s="2"/>
      <c r="S1" s="5"/>
    </row>
    <row r="2" spans="1:19" ht="15.75">
      <c r="A2" s="116" t="s">
        <v>62</v>
      </c>
      <c r="B2" s="8"/>
      <c r="C2" s="8"/>
      <c r="D2" s="8"/>
      <c r="E2" s="8"/>
      <c r="F2" s="8"/>
      <c r="G2" s="9"/>
      <c r="H2" s="9"/>
      <c r="I2" s="8"/>
      <c r="J2" s="9"/>
      <c r="K2" s="8"/>
      <c r="L2" s="8"/>
      <c r="M2" s="8"/>
      <c r="N2" s="8"/>
      <c r="O2" s="8"/>
      <c r="P2" s="10"/>
      <c r="Q2" s="10"/>
      <c r="R2" s="8"/>
      <c r="S2" s="11" t="s">
        <v>63</v>
      </c>
    </row>
    <row r="3" spans="1:19" ht="15.75" customHeight="1">
      <c r="A3" s="127" t="s">
        <v>61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9"/>
    </row>
    <row r="4" spans="1:19" ht="15.75" customHeight="1">
      <c r="A4" s="127" t="s">
        <v>2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9"/>
    </row>
    <row r="5" spans="1:19" ht="15.75">
      <c r="A5" s="7" t="s">
        <v>0</v>
      </c>
      <c r="B5" s="8" t="s">
        <v>0</v>
      </c>
      <c r="C5" s="8"/>
      <c r="D5" s="8"/>
      <c r="E5" s="8"/>
      <c r="F5" s="8"/>
      <c r="G5" s="9"/>
      <c r="H5" s="9"/>
      <c r="I5" s="8"/>
      <c r="J5" s="9" t="s">
        <v>0</v>
      </c>
      <c r="K5" s="8"/>
      <c r="L5" s="8" t="s">
        <v>0</v>
      </c>
      <c r="M5" s="8"/>
      <c r="N5" s="8" t="s">
        <v>0</v>
      </c>
      <c r="O5" s="8"/>
      <c r="P5" s="10"/>
      <c r="Q5" s="10"/>
      <c r="R5" s="8"/>
      <c r="S5" s="12"/>
    </row>
    <row r="6" spans="1:19" ht="15.75">
      <c r="A6" s="13"/>
      <c r="B6" s="14"/>
      <c r="C6" s="14"/>
      <c r="D6" s="14"/>
      <c r="E6" s="14"/>
      <c r="F6" s="14"/>
      <c r="G6" s="15"/>
      <c r="H6" s="15"/>
      <c r="I6" s="16"/>
      <c r="J6" s="17"/>
      <c r="K6" s="14"/>
      <c r="L6" s="16"/>
      <c r="M6" s="16"/>
      <c r="N6" s="14"/>
      <c r="O6" s="14"/>
      <c r="P6" s="18"/>
      <c r="Q6" s="18"/>
      <c r="R6" s="14"/>
      <c r="S6" s="19"/>
    </row>
    <row r="7" spans="1:19" ht="15.75">
      <c r="A7" s="112"/>
      <c r="B7" s="21"/>
      <c r="C7" s="21"/>
      <c r="D7" s="21"/>
      <c r="E7" s="21"/>
      <c r="F7" s="21"/>
      <c r="G7" s="22"/>
      <c r="H7" s="22"/>
      <c r="I7" s="23"/>
      <c r="J7" s="24"/>
      <c r="K7" s="21"/>
      <c r="L7" s="21"/>
      <c r="M7" s="25"/>
      <c r="N7" s="23"/>
      <c r="O7" s="21"/>
      <c r="P7" s="26"/>
      <c r="Q7" s="26"/>
      <c r="R7" s="25"/>
      <c r="S7" s="25"/>
    </row>
    <row r="8" spans="1:19" ht="15.75" customHeight="1">
      <c r="A8" s="113" t="s">
        <v>25</v>
      </c>
      <c r="B8" s="124" t="s">
        <v>6</v>
      </c>
      <c r="C8" s="125"/>
      <c r="D8" s="125"/>
      <c r="E8" s="125"/>
      <c r="F8" s="125"/>
      <c r="G8" s="125"/>
      <c r="H8" s="125"/>
      <c r="I8" s="126"/>
      <c r="J8" s="121" t="s">
        <v>57</v>
      </c>
      <c r="K8" s="122"/>
      <c r="L8" s="123"/>
      <c r="M8" s="31" t="s">
        <v>39</v>
      </c>
      <c r="N8" s="29" t="s">
        <v>3</v>
      </c>
      <c r="O8" s="31" t="s">
        <v>47</v>
      </c>
      <c r="P8" s="32" t="s">
        <v>94</v>
      </c>
      <c r="Q8" s="32" t="s">
        <v>96</v>
      </c>
      <c r="R8" s="33" t="s">
        <v>4</v>
      </c>
      <c r="S8" s="117" t="s">
        <v>5</v>
      </c>
    </row>
    <row r="9" spans="1:19" ht="15.75">
      <c r="A9" s="113"/>
      <c r="B9" s="8"/>
      <c r="C9" s="8"/>
      <c r="D9" s="34"/>
      <c r="E9" s="34"/>
      <c r="F9" s="8"/>
      <c r="G9" s="9"/>
      <c r="H9" s="9"/>
      <c r="I9" s="12"/>
      <c r="J9" s="35"/>
      <c r="K9" s="8"/>
      <c r="L9" s="8" t="s">
        <v>0</v>
      </c>
      <c r="M9" s="33" t="s">
        <v>40</v>
      </c>
      <c r="N9" s="29" t="s">
        <v>7</v>
      </c>
      <c r="O9" s="33" t="s">
        <v>48</v>
      </c>
      <c r="P9" s="36" t="s">
        <v>95</v>
      </c>
      <c r="Q9" s="36"/>
      <c r="R9" s="33" t="s">
        <v>8</v>
      </c>
      <c r="S9" s="117" t="s">
        <v>1</v>
      </c>
    </row>
    <row r="10" spans="1:19" ht="15.75">
      <c r="A10" s="114"/>
      <c r="B10" s="16"/>
      <c r="C10" s="16"/>
      <c r="D10" s="16"/>
      <c r="E10" s="16"/>
      <c r="F10" s="16"/>
      <c r="G10" s="15"/>
      <c r="H10" s="15"/>
      <c r="I10" s="38"/>
      <c r="J10" s="39"/>
      <c r="K10" s="16"/>
      <c r="L10" s="16"/>
      <c r="M10" s="33"/>
      <c r="N10" s="29" t="s">
        <v>9</v>
      </c>
      <c r="O10" s="28"/>
      <c r="P10" s="36"/>
      <c r="Q10" s="36"/>
      <c r="R10" s="33"/>
      <c r="S10" s="33"/>
    </row>
    <row r="11" spans="1:19" ht="15.75">
      <c r="A11" s="113"/>
      <c r="B11" s="40"/>
      <c r="C11" s="40"/>
      <c r="D11" s="40"/>
      <c r="E11" s="40"/>
      <c r="F11" s="40"/>
      <c r="G11" s="41"/>
      <c r="H11" s="41"/>
      <c r="I11" s="42"/>
      <c r="J11" s="43"/>
      <c r="K11" s="40"/>
      <c r="L11" s="8"/>
      <c r="M11" s="44"/>
      <c r="N11" s="12"/>
      <c r="O11" s="8"/>
      <c r="P11" s="45"/>
      <c r="Q11" s="45"/>
      <c r="R11" s="44"/>
      <c r="S11" s="44"/>
    </row>
    <row r="12" spans="1:19" ht="15.75">
      <c r="A12" s="113"/>
      <c r="B12" s="46"/>
      <c r="C12" s="47"/>
      <c r="D12" s="46"/>
      <c r="E12" s="46"/>
      <c r="F12" s="47"/>
      <c r="G12" s="48"/>
      <c r="H12" s="48"/>
      <c r="I12" s="29"/>
      <c r="J12" s="24"/>
      <c r="K12" s="25"/>
      <c r="L12" s="49"/>
      <c r="M12" s="44"/>
      <c r="N12" s="12"/>
      <c r="O12" s="8"/>
      <c r="P12" s="45"/>
      <c r="Q12" s="45"/>
      <c r="R12" s="44"/>
      <c r="S12" s="44"/>
    </row>
    <row r="13" spans="1:19" ht="15.75">
      <c r="A13" s="115"/>
      <c r="B13" s="33" t="s">
        <v>27</v>
      </c>
      <c r="C13" s="28" t="s">
        <v>10</v>
      </c>
      <c r="D13" s="33" t="s">
        <v>11</v>
      </c>
      <c r="E13" s="33" t="s">
        <v>11</v>
      </c>
      <c r="F13" s="28" t="s">
        <v>12</v>
      </c>
      <c r="G13" s="50" t="s">
        <v>12</v>
      </c>
      <c r="H13" s="33" t="s">
        <v>78</v>
      </c>
      <c r="I13" s="12" t="s">
        <v>16</v>
      </c>
      <c r="J13" s="30" t="s">
        <v>169</v>
      </c>
      <c r="K13" s="33" t="s">
        <v>13</v>
      </c>
      <c r="L13" s="27" t="s">
        <v>42</v>
      </c>
      <c r="M13" s="51"/>
      <c r="N13" s="12"/>
      <c r="O13" s="8"/>
      <c r="P13" s="45"/>
      <c r="Q13" s="45"/>
      <c r="R13" s="44"/>
      <c r="S13" s="44"/>
    </row>
    <row r="14" spans="1:19" ht="15.75">
      <c r="A14" s="113"/>
      <c r="B14" s="33" t="s">
        <v>28</v>
      </c>
      <c r="C14" s="8" t="s">
        <v>80</v>
      </c>
      <c r="D14" s="33" t="s">
        <v>14</v>
      </c>
      <c r="E14" s="33" t="s">
        <v>14</v>
      </c>
      <c r="F14" s="28" t="s">
        <v>15</v>
      </c>
      <c r="G14" s="50" t="s">
        <v>100</v>
      </c>
      <c r="H14" s="50" t="s">
        <v>79</v>
      </c>
      <c r="I14" s="52"/>
      <c r="J14" s="30" t="s">
        <v>167</v>
      </c>
      <c r="K14" s="33" t="s">
        <v>17</v>
      </c>
      <c r="L14" s="53"/>
      <c r="M14" s="54"/>
      <c r="N14" s="12"/>
      <c r="O14" s="8"/>
      <c r="P14" s="45"/>
      <c r="Q14" s="45"/>
      <c r="R14" s="44"/>
      <c r="S14" s="44"/>
    </row>
    <row r="15" spans="1:19" ht="15.75">
      <c r="A15" s="113"/>
      <c r="B15" s="33" t="s">
        <v>29</v>
      </c>
      <c r="C15" s="28" t="s">
        <v>21</v>
      </c>
      <c r="D15" s="33" t="s">
        <v>18</v>
      </c>
      <c r="E15" s="33" t="s">
        <v>97</v>
      </c>
      <c r="F15" s="28" t="s">
        <v>19</v>
      </c>
      <c r="G15" s="50" t="s">
        <v>101</v>
      </c>
      <c r="H15" s="50"/>
      <c r="I15" s="29"/>
      <c r="J15" s="35" t="s">
        <v>168</v>
      </c>
      <c r="K15" s="33" t="s">
        <v>20</v>
      </c>
      <c r="L15" s="55" t="s">
        <v>0</v>
      </c>
      <c r="M15" s="44"/>
      <c r="N15" s="12"/>
      <c r="O15" s="8"/>
      <c r="P15" s="45"/>
      <c r="Q15" s="45"/>
      <c r="R15" s="44"/>
      <c r="S15" s="44"/>
    </row>
    <row r="16" spans="1:19" ht="15.75">
      <c r="A16" s="113" t="s">
        <v>26</v>
      </c>
      <c r="B16" s="33"/>
      <c r="C16" s="28"/>
      <c r="D16" s="33" t="s">
        <v>22</v>
      </c>
      <c r="E16" s="33"/>
      <c r="F16" s="28" t="s">
        <v>23</v>
      </c>
      <c r="G16" s="50" t="s">
        <v>99</v>
      </c>
      <c r="H16" s="50"/>
      <c r="I16" s="29"/>
      <c r="J16" s="35"/>
      <c r="K16" s="33" t="s">
        <v>24</v>
      </c>
      <c r="L16" s="55"/>
      <c r="M16" s="44"/>
      <c r="N16" s="12"/>
      <c r="O16" s="8"/>
      <c r="P16" s="45"/>
      <c r="Q16" s="45"/>
      <c r="R16" s="44"/>
      <c r="S16" s="44"/>
    </row>
    <row r="17" spans="1:19" ht="12.75" customHeight="1">
      <c r="A17" s="37"/>
      <c r="B17" s="33"/>
      <c r="C17" s="58"/>
      <c r="D17" s="57"/>
      <c r="E17" s="57"/>
      <c r="F17" s="58"/>
      <c r="G17" s="59"/>
      <c r="H17" s="59"/>
      <c r="I17" s="60"/>
      <c r="J17" s="61"/>
      <c r="K17" s="56"/>
      <c r="L17" s="13"/>
      <c r="M17" s="56"/>
      <c r="N17" s="19"/>
      <c r="O17" s="14"/>
      <c r="P17" s="62"/>
      <c r="Q17" s="62"/>
      <c r="R17" s="56"/>
      <c r="S17" s="56"/>
    </row>
    <row r="18" spans="1:19" ht="15.75">
      <c r="A18" s="20"/>
      <c r="B18" s="23"/>
      <c r="C18" s="8"/>
      <c r="D18" s="44"/>
      <c r="E18" s="25"/>
      <c r="F18" s="8"/>
      <c r="G18" s="63"/>
      <c r="H18" s="64"/>
      <c r="I18" s="65"/>
      <c r="J18" s="9"/>
      <c r="K18" s="25"/>
      <c r="L18" s="8"/>
      <c r="M18" s="44"/>
      <c r="N18" s="12"/>
      <c r="O18" s="12"/>
      <c r="P18" s="26"/>
      <c r="Q18" s="10"/>
      <c r="R18" s="44"/>
      <c r="S18" s="44"/>
    </row>
    <row r="19" spans="1:19" s="72" customFormat="1" ht="15" customHeight="1" hidden="1">
      <c r="A19" s="74"/>
      <c r="B19" s="69"/>
      <c r="C19" s="69"/>
      <c r="D19" s="65"/>
      <c r="E19" s="65"/>
      <c r="F19" s="65"/>
      <c r="G19" s="70"/>
      <c r="H19" s="64"/>
      <c r="I19" s="65"/>
      <c r="J19" s="70"/>
      <c r="K19" s="65"/>
      <c r="L19" s="67"/>
      <c r="M19" s="65"/>
      <c r="N19" s="69"/>
      <c r="O19" s="69"/>
      <c r="P19" s="71"/>
      <c r="Q19" s="73"/>
      <c r="R19" s="66"/>
      <c r="S19" s="69"/>
    </row>
    <row r="20" spans="1:22" s="76" customFormat="1" ht="15" customHeight="1" hidden="1">
      <c r="A20" s="75" t="s">
        <v>102</v>
      </c>
      <c r="B20" s="73">
        <v>124230.9</v>
      </c>
      <c r="C20" s="73">
        <v>24965.9</v>
      </c>
      <c r="D20" s="71">
        <v>1127</v>
      </c>
      <c r="E20" s="77" t="s">
        <v>41</v>
      </c>
      <c r="F20" s="71">
        <v>4527.2</v>
      </c>
      <c r="G20" s="70">
        <v>56.9</v>
      </c>
      <c r="H20" s="64">
        <v>1675.3</v>
      </c>
      <c r="I20" s="71">
        <f aca="true" t="shared" si="0" ref="I20:I25">SUM(B20:H20)</f>
        <v>156583.19999999998</v>
      </c>
      <c r="J20" s="71">
        <v>87124.79999999999</v>
      </c>
      <c r="K20" s="71">
        <v>6683.6</v>
      </c>
      <c r="L20" s="67">
        <f aca="true" t="shared" si="1" ref="L20:L25">SUM(J20:K20)</f>
        <v>93808.4</v>
      </c>
      <c r="M20" s="71">
        <v>12000</v>
      </c>
      <c r="N20" s="73">
        <v>5225.7</v>
      </c>
      <c r="O20" s="73">
        <v>175397.7</v>
      </c>
      <c r="P20" s="71">
        <v>22381.3</v>
      </c>
      <c r="Q20" s="73">
        <v>14196.7</v>
      </c>
      <c r="R20" s="68">
        <v>34017.399999999994</v>
      </c>
      <c r="S20" s="73">
        <f aca="true" t="shared" si="2" ref="S20:S29">SUM(I20,L20:O20,R20,P20,Q20)</f>
        <v>513610.4</v>
      </c>
      <c r="T20" s="72"/>
      <c r="U20" s="72"/>
      <c r="V20" s="72">
        <f>+S20-U20</f>
        <v>513610.4</v>
      </c>
    </row>
    <row r="21" spans="1:19" s="72" customFormat="1" ht="15" customHeight="1" hidden="1">
      <c r="A21" s="78" t="s">
        <v>106</v>
      </c>
      <c r="B21" s="69">
        <v>136206.2</v>
      </c>
      <c r="C21" s="69">
        <v>53891.1</v>
      </c>
      <c r="D21" s="65">
        <v>1014.1</v>
      </c>
      <c r="E21" s="77" t="s">
        <v>41</v>
      </c>
      <c r="F21" s="65">
        <v>6100.8</v>
      </c>
      <c r="G21" s="70">
        <v>29.2</v>
      </c>
      <c r="H21" s="64">
        <v>901.8</v>
      </c>
      <c r="I21" s="71">
        <f t="shared" si="0"/>
        <v>198143.2</v>
      </c>
      <c r="J21" s="70">
        <v>76348</v>
      </c>
      <c r="K21" s="65">
        <v>6233.9</v>
      </c>
      <c r="L21" s="67">
        <f t="shared" si="1"/>
        <v>82581.9</v>
      </c>
      <c r="M21" s="65">
        <v>10000</v>
      </c>
      <c r="N21" s="69">
        <v>3627.5</v>
      </c>
      <c r="O21" s="69">
        <v>255985.09999999998</v>
      </c>
      <c r="P21" s="71">
        <v>32780.3</v>
      </c>
      <c r="Q21" s="73">
        <v>4383.1</v>
      </c>
      <c r="R21" s="66">
        <v>72473.79999999999</v>
      </c>
      <c r="S21" s="73">
        <f t="shared" si="2"/>
        <v>659974.9</v>
      </c>
    </row>
    <row r="22" spans="1:19" s="72" customFormat="1" ht="15" customHeight="1" hidden="1">
      <c r="A22" s="78" t="s">
        <v>105</v>
      </c>
      <c r="B22" s="69">
        <v>155835.2</v>
      </c>
      <c r="C22" s="69">
        <v>47450.5</v>
      </c>
      <c r="D22" s="65">
        <v>1428</v>
      </c>
      <c r="E22" s="65">
        <v>2738.884497</v>
      </c>
      <c r="F22" s="65">
        <v>3735.6</v>
      </c>
      <c r="G22" s="70">
        <v>28.6</v>
      </c>
      <c r="H22" s="64">
        <v>422.0155030000001</v>
      </c>
      <c r="I22" s="71">
        <f t="shared" si="0"/>
        <v>211638.80000000002</v>
      </c>
      <c r="J22" s="70">
        <v>95993</v>
      </c>
      <c r="K22" s="65">
        <v>6291.8</v>
      </c>
      <c r="L22" s="67">
        <f t="shared" si="1"/>
        <v>102284.8</v>
      </c>
      <c r="M22" s="65">
        <v>7000</v>
      </c>
      <c r="N22" s="69">
        <v>10515.6</v>
      </c>
      <c r="O22" s="69">
        <v>276658.60000000003</v>
      </c>
      <c r="P22" s="71">
        <v>36102</v>
      </c>
      <c r="Q22" s="73">
        <v>4813.2</v>
      </c>
      <c r="R22" s="66">
        <v>31416</v>
      </c>
      <c r="S22" s="73">
        <f t="shared" si="2"/>
        <v>680429</v>
      </c>
    </row>
    <row r="23" spans="1:19" s="72" customFormat="1" ht="15" customHeight="1" hidden="1">
      <c r="A23" s="78" t="s">
        <v>104</v>
      </c>
      <c r="B23" s="69">
        <v>170106</v>
      </c>
      <c r="C23" s="69">
        <v>34979.700000000004</v>
      </c>
      <c r="D23" s="65">
        <v>278</v>
      </c>
      <c r="E23" s="65">
        <v>500</v>
      </c>
      <c r="F23" s="65">
        <v>5041.499999999998</v>
      </c>
      <c r="G23" s="70">
        <v>23.6</v>
      </c>
      <c r="H23" s="64">
        <v>397.3</v>
      </c>
      <c r="I23" s="71">
        <f t="shared" si="0"/>
        <v>211326.1</v>
      </c>
      <c r="J23" s="70">
        <v>103201.79999999999</v>
      </c>
      <c r="K23" s="65">
        <v>7172.300000000001</v>
      </c>
      <c r="L23" s="67">
        <f t="shared" si="1"/>
        <v>110374.09999999999</v>
      </c>
      <c r="M23" s="77" t="s">
        <v>41</v>
      </c>
      <c r="N23" s="69">
        <v>12302.2</v>
      </c>
      <c r="O23" s="69">
        <v>330449.80000000005</v>
      </c>
      <c r="P23" s="71">
        <v>41797.4</v>
      </c>
      <c r="Q23" s="73">
        <v>9533.5</v>
      </c>
      <c r="R23" s="66">
        <v>56251.50000000001</v>
      </c>
      <c r="S23" s="73">
        <f t="shared" si="2"/>
        <v>772034.6000000001</v>
      </c>
    </row>
    <row r="24" spans="1:19" s="72" customFormat="1" ht="15" customHeight="1" hidden="1">
      <c r="A24" s="78" t="s">
        <v>92</v>
      </c>
      <c r="B24" s="73">
        <v>198246.9</v>
      </c>
      <c r="C24" s="69">
        <v>39879.9</v>
      </c>
      <c r="D24" s="65">
        <v>2827.5</v>
      </c>
      <c r="E24" s="65">
        <v>22413.6</v>
      </c>
      <c r="F24" s="65">
        <v>3234.3</v>
      </c>
      <c r="G24" s="70">
        <v>14.5</v>
      </c>
      <c r="H24" s="64">
        <v>669.4</v>
      </c>
      <c r="I24" s="71">
        <f t="shared" si="0"/>
        <v>267286.1</v>
      </c>
      <c r="J24" s="70">
        <v>115882.1</v>
      </c>
      <c r="K24" s="65">
        <v>8635.499999999998</v>
      </c>
      <c r="L24" s="67">
        <f t="shared" si="1"/>
        <v>124517.6</v>
      </c>
      <c r="M24" s="65">
        <v>6800</v>
      </c>
      <c r="N24" s="69">
        <v>15658.2</v>
      </c>
      <c r="O24" s="69">
        <v>418096.6</v>
      </c>
      <c r="P24" s="71">
        <v>51954.3</v>
      </c>
      <c r="Q24" s="73">
        <v>7906</v>
      </c>
      <c r="R24" s="66">
        <v>19735.000000000015</v>
      </c>
      <c r="S24" s="73">
        <f t="shared" si="2"/>
        <v>911953.8</v>
      </c>
    </row>
    <row r="25" spans="1:20" s="80" customFormat="1" ht="15" customHeight="1">
      <c r="A25" s="78" t="s">
        <v>103</v>
      </c>
      <c r="B25" s="79">
        <v>211683.7</v>
      </c>
      <c r="C25" s="79">
        <v>82710.8</v>
      </c>
      <c r="D25" s="70">
        <v>2674</v>
      </c>
      <c r="E25" s="70">
        <v>5135.8</v>
      </c>
      <c r="F25" s="70">
        <v>3566.2</v>
      </c>
      <c r="G25" s="70">
        <v>28</v>
      </c>
      <c r="H25" s="64">
        <v>787.6</v>
      </c>
      <c r="I25" s="70">
        <f t="shared" si="0"/>
        <v>306586.1</v>
      </c>
      <c r="J25" s="70">
        <v>152366.7</v>
      </c>
      <c r="K25" s="70">
        <v>14733.599999999997</v>
      </c>
      <c r="L25" s="70">
        <f t="shared" si="1"/>
        <v>167100.30000000002</v>
      </c>
      <c r="M25" s="77" t="s">
        <v>41</v>
      </c>
      <c r="N25" s="79">
        <v>7533</v>
      </c>
      <c r="O25" s="79">
        <v>383189.69999999995</v>
      </c>
      <c r="P25" s="70">
        <v>62981.7</v>
      </c>
      <c r="Q25" s="79">
        <v>-13851.5</v>
      </c>
      <c r="R25" s="64">
        <v>10207.7</v>
      </c>
      <c r="S25" s="79">
        <f t="shared" si="2"/>
        <v>923746.9999999999</v>
      </c>
      <c r="T25" s="72"/>
    </row>
    <row r="26" spans="1:20" s="80" customFormat="1" ht="15" customHeight="1">
      <c r="A26" s="78" t="s">
        <v>119</v>
      </c>
      <c r="B26" s="79">
        <v>227340.9</v>
      </c>
      <c r="C26" s="79">
        <v>120095.4</v>
      </c>
      <c r="D26" s="70">
        <v>1624.7</v>
      </c>
      <c r="E26" s="70">
        <v>1035.1</v>
      </c>
      <c r="F26" s="70">
        <v>3555.9</v>
      </c>
      <c r="G26" s="70">
        <v>22.9</v>
      </c>
      <c r="H26" s="64">
        <v>1326.1</v>
      </c>
      <c r="I26" s="70">
        <f>SUM(B26:H26)</f>
        <v>355001</v>
      </c>
      <c r="J26" s="70">
        <v>170878.6</v>
      </c>
      <c r="K26" s="70">
        <v>13593.9</v>
      </c>
      <c r="L26" s="70">
        <f>SUM(J26:K26)</f>
        <v>184472.5</v>
      </c>
      <c r="M26" s="77" t="s">
        <v>41</v>
      </c>
      <c r="N26" s="79">
        <v>9222.6</v>
      </c>
      <c r="O26" s="79">
        <v>372538.8</v>
      </c>
      <c r="P26" s="70">
        <v>82125.3</v>
      </c>
      <c r="Q26" s="79">
        <v>8152.8</v>
      </c>
      <c r="R26" s="64">
        <f>1064.1+10111.9+5977.7</f>
        <v>17153.7</v>
      </c>
      <c r="S26" s="79">
        <f t="shared" si="2"/>
        <v>1028666.7</v>
      </c>
      <c r="T26" s="72"/>
    </row>
    <row r="27" spans="1:20" s="80" customFormat="1" ht="15" customHeight="1">
      <c r="A27" s="78" t="s">
        <v>143</v>
      </c>
      <c r="B27" s="79">
        <v>230723.7</v>
      </c>
      <c r="C27" s="79">
        <v>84351</v>
      </c>
      <c r="D27" s="70">
        <v>2209.5</v>
      </c>
      <c r="E27" s="70">
        <v>1611</v>
      </c>
      <c r="F27" s="70">
        <v>4368.5</v>
      </c>
      <c r="G27" s="70">
        <v>44.5</v>
      </c>
      <c r="H27" s="64">
        <v>1200</v>
      </c>
      <c r="I27" s="70">
        <f>SUM(B27:H27)</f>
        <v>324508.2</v>
      </c>
      <c r="J27" s="70">
        <v>171839.3</v>
      </c>
      <c r="K27" s="70">
        <v>17303.7</v>
      </c>
      <c r="L27" s="70">
        <f>SUM(J27:K27)</f>
        <v>189143</v>
      </c>
      <c r="M27" s="110" t="s">
        <v>41</v>
      </c>
      <c r="N27" s="79">
        <v>5645.1</v>
      </c>
      <c r="O27" s="79">
        <v>354815.2</v>
      </c>
      <c r="P27" s="70">
        <v>87845.1</v>
      </c>
      <c r="Q27" s="79">
        <v>1265</v>
      </c>
      <c r="R27" s="64">
        <f>1187.7+6374.8+2.4</f>
        <v>7564.9</v>
      </c>
      <c r="S27" s="79">
        <f t="shared" si="2"/>
        <v>970786.5</v>
      </c>
      <c r="T27" s="72"/>
    </row>
    <row r="28" spans="1:20" s="80" customFormat="1" ht="15.75">
      <c r="A28" s="78" t="s">
        <v>156</v>
      </c>
      <c r="B28" s="79">
        <v>267512.5</v>
      </c>
      <c r="C28" s="79">
        <v>134302.8</v>
      </c>
      <c r="D28" s="70">
        <v>3575.7</v>
      </c>
      <c r="E28" s="70">
        <v>5995.8</v>
      </c>
      <c r="F28" s="70">
        <v>6509.8</v>
      </c>
      <c r="G28" s="70">
        <v>7.7</v>
      </c>
      <c r="H28" s="64">
        <v>1319.7</v>
      </c>
      <c r="I28" s="70">
        <f>SUM(B28:H28)</f>
        <v>419224</v>
      </c>
      <c r="J28" s="70">
        <v>229057.5</v>
      </c>
      <c r="K28" s="70">
        <v>14016.1</v>
      </c>
      <c r="L28" s="70">
        <f>SUM(J28:K28)</f>
        <v>243073.6</v>
      </c>
      <c r="M28" s="110" t="s">
        <v>41</v>
      </c>
      <c r="N28" s="79">
        <v>12385</v>
      </c>
      <c r="O28" s="79">
        <v>328508.5</v>
      </c>
      <c r="P28" s="70">
        <v>88281.6</v>
      </c>
      <c r="Q28" s="79">
        <v>5702.3</v>
      </c>
      <c r="R28" s="64">
        <f>8800+6.7+1350.6</f>
        <v>10157.300000000001</v>
      </c>
      <c r="S28" s="79">
        <f t="shared" si="2"/>
        <v>1107332.3</v>
      </c>
      <c r="T28" s="72"/>
    </row>
    <row r="29" spans="1:20" s="80" customFormat="1" ht="15.75" hidden="1">
      <c r="A29" s="78" t="s">
        <v>183</v>
      </c>
      <c r="B29" s="79">
        <v>308146.5</v>
      </c>
      <c r="C29" s="79">
        <v>221165.7</v>
      </c>
      <c r="D29" s="70">
        <v>2169.6</v>
      </c>
      <c r="E29" s="70">
        <v>2679.8</v>
      </c>
      <c r="F29" s="70">
        <v>18075.6</v>
      </c>
      <c r="G29" s="70">
        <v>20</v>
      </c>
      <c r="H29" s="64">
        <f>1575.7+28852.2</f>
        <v>30427.9</v>
      </c>
      <c r="I29" s="70">
        <f>SUM(B29:H29)</f>
        <v>582685.1</v>
      </c>
      <c r="J29" s="70">
        <v>227053.6</v>
      </c>
      <c r="K29" s="70">
        <v>29704.1</v>
      </c>
      <c r="L29" s="70">
        <f>SUM(J29:K29)</f>
        <v>256757.7</v>
      </c>
      <c r="M29" s="110" t="s">
        <v>41</v>
      </c>
      <c r="N29" s="79">
        <v>17665.9</v>
      </c>
      <c r="O29" s="79">
        <v>338555.6</v>
      </c>
      <c r="P29" s="70">
        <v>96208</v>
      </c>
      <c r="Q29" s="79">
        <v>6712.5</v>
      </c>
      <c r="R29" s="64">
        <f>9178.8+1534.8</f>
        <v>10713.599999999999</v>
      </c>
      <c r="S29" s="79">
        <f t="shared" si="2"/>
        <v>1309298.4000000001</v>
      </c>
      <c r="T29" s="72"/>
    </row>
    <row r="30" spans="1:19" s="72" customFormat="1" ht="15" customHeight="1">
      <c r="A30" s="78" t="s">
        <v>183</v>
      </c>
      <c r="B30" s="69">
        <v>308146.5</v>
      </c>
      <c r="C30" s="69">
        <v>221165.7</v>
      </c>
      <c r="D30" s="65">
        <v>2169.6</v>
      </c>
      <c r="E30" s="65">
        <v>2679.8</v>
      </c>
      <c r="F30" s="65">
        <v>18075.6</v>
      </c>
      <c r="G30" s="70">
        <v>20</v>
      </c>
      <c r="H30" s="64">
        <v>30427.9</v>
      </c>
      <c r="I30" s="71">
        <v>582685.1</v>
      </c>
      <c r="J30" s="70">
        <v>227053.6</v>
      </c>
      <c r="K30" s="65">
        <v>29704.1</v>
      </c>
      <c r="L30" s="67">
        <v>256757.7</v>
      </c>
      <c r="M30" s="77" t="s">
        <v>41</v>
      </c>
      <c r="N30" s="69">
        <v>17665.9</v>
      </c>
      <c r="O30" s="69">
        <v>338555.6</v>
      </c>
      <c r="P30" s="71">
        <v>96208</v>
      </c>
      <c r="Q30" s="73">
        <v>6712.5</v>
      </c>
      <c r="R30" s="66">
        <v>10713.599999999999</v>
      </c>
      <c r="S30" s="73">
        <v>1309298.4000000001</v>
      </c>
    </row>
    <row r="31" spans="1:19" s="72" customFormat="1" ht="15" customHeight="1" hidden="1">
      <c r="A31" s="97" t="s">
        <v>115</v>
      </c>
      <c r="B31" s="69">
        <v>168466.4</v>
      </c>
      <c r="C31" s="69">
        <v>33244.3</v>
      </c>
      <c r="D31" s="65">
        <v>1493.8</v>
      </c>
      <c r="E31" s="65">
        <v>2484.4</v>
      </c>
      <c r="F31" s="65">
        <v>1412.9000000000003</v>
      </c>
      <c r="G31" s="70">
        <v>37.9</v>
      </c>
      <c r="H31" s="64">
        <v>500.5999999999999</v>
      </c>
      <c r="I31" s="71">
        <f>SUM(B31:H31)</f>
        <v>207640.3</v>
      </c>
      <c r="J31" s="70">
        <v>90818.79999999999</v>
      </c>
      <c r="K31" s="65">
        <v>5304.400000000001</v>
      </c>
      <c r="L31" s="67">
        <f>SUM(J31:K31)</f>
        <v>96123.19999999998</v>
      </c>
      <c r="M31" s="77" t="s">
        <v>41</v>
      </c>
      <c r="N31" s="69">
        <v>7790</v>
      </c>
      <c r="O31" s="69">
        <v>313648.9</v>
      </c>
      <c r="P31" s="71">
        <v>41803.5</v>
      </c>
      <c r="Q31" s="73">
        <v>6939</v>
      </c>
      <c r="R31" s="66">
        <v>19892.699999999997</v>
      </c>
      <c r="S31" s="73">
        <f>SUM(I31,L31:O31,R31,P31,Q31)</f>
        <v>693837.6</v>
      </c>
    </row>
    <row r="32" spans="1:19" s="72" customFormat="1" ht="15" customHeight="1" hidden="1">
      <c r="A32" s="81"/>
      <c r="B32" s="69"/>
      <c r="C32" s="69"/>
      <c r="D32" s="65"/>
      <c r="E32" s="65"/>
      <c r="F32" s="65"/>
      <c r="G32" s="70"/>
      <c r="H32" s="64"/>
      <c r="I32" s="71"/>
      <c r="J32" s="70"/>
      <c r="K32" s="65"/>
      <c r="L32" s="67"/>
      <c r="M32" s="65"/>
      <c r="N32" s="69"/>
      <c r="O32" s="69"/>
      <c r="P32" s="71"/>
      <c r="Q32" s="73"/>
      <c r="R32" s="66"/>
      <c r="S32" s="73"/>
    </row>
    <row r="33" spans="1:19" s="72" customFormat="1" ht="15" customHeight="1" hidden="1">
      <c r="A33" s="81" t="s">
        <v>134</v>
      </c>
      <c r="B33" s="73">
        <v>183642.4</v>
      </c>
      <c r="C33" s="69">
        <v>27850.7</v>
      </c>
      <c r="D33" s="65">
        <v>1363.6</v>
      </c>
      <c r="E33" s="65">
        <v>989.7638159999999</v>
      </c>
      <c r="F33" s="65">
        <v>3705.5</v>
      </c>
      <c r="G33" s="70">
        <v>10</v>
      </c>
      <c r="H33" s="64">
        <v>373.03618400000005</v>
      </c>
      <c r="I33" s="71">
        <f>SUM(B33:H33)</f>
        <v>217935</v>
      </c>
      <c r="J33" s="70">
        <v>90865.90000000001</v>
      </c>
      <c r="K33" s="65">
        <v>6351</v>
      </c>
      <c r="L33" s="67">
        <f>SUM(J33:K33)</f>
        <v>97216.90000000001</v>
      </c>
      <c r="M33" s="77" t="s">
        <v>41</v>
      </c>
      <c r="N33" s="69">
        <v>9147.7</v>
      </c>
      <c r="O33" s="69">
        <v>353109.6</v>
      </c>
      <c r="P33" s="71">
        <v>51954.3</v>
      </c>
      <c r="Q33" s="73">
        <v>10753</v>
      </c>
      <c r="R33" s="66">
        <v>19695.300000000003</v>
      </c>
      <c r="S33" s="73">
        <f>SUM(I33,L33:O33,R33,P33,Q33)</f>
        <v>759811.8</v>
      </c>
    </row>
    <row r="34" spans="1:19" s="72" customFormat="1" ht="15" customHeight="1" hidden="1">
      <c r="A34" s="81" t="s">
        <v>141</v>
      </c>
      <c r="B34" s="73">
        <v>198246.9</v>
      </c>
      <c r="C34" s="69">
        <v>39879.9</v>
      </c>
      <c r="D34" s="65">
        <v>2827.5</v>
      </c>
      <c r="E34" s="65">
        <v>22413.6</v>
      </c>
      <c r="F34" s="65">
        <v>3234.3</v>
      </c>
      <c r="G34" s="70">
        <v>14.5</v>
      </c>
      <c r="H34" s="64">
        <v>669.4</v>
      </c>
      <c r="I34" s="71">
        <f>SUM(B34:H34)</f>
        <v>267286.1</v>
      </c>
      <c r="J34" s="70">
        <v>115882.1</v>
      </c>
      <c r="K34" s="65">
        <v>8635.499999999998</v>
      </c>
      <c r="L34" s="67">
        <f>SUM(J34:K34)</f>
        <v>124517.6</v>
      </c>
      <c r="M34" s="65">
        <v>6800</v>
      </c>
      <c r="N34" s="69">
        <v>15658.2</v>
      </c>
      <c r="O34" s="69">
        <v>418096.6</v>
      </c>
      <c r="P34" s="71">
        <v>51954.3</v>
      </c>
      <c r="Q34" s="73">
        <v>7906</v>
      </c>
      <c r="R34" s="66">
        <v>19735.000000000015</v>
      </c>
      <c r="S34" s="73">
        <f>SUM(I34,L34:O34,R34,P34,Q34)</f>
        <v>911953.8</v>
      </c>
    </row>
    <row r="35" spans="1:19" s="72" customFormat="1" ht="15" customHeight="1" hidden="1">
      <c r="A35" s="81" t="s">
        <v>146</v>
      </c>
      <c r="B35" s="69">
        <v>189178.2</v>
      </c>
      <c r="C35" s="69">
        <v>45758.4</v>
      </c>
      <c r="D35" s="65">
        <v>2115</v>
      </c>
      <c r="E35" s="65">
        <v>9951.2</v>
      </c>
      <c r="F35" s="65">
        <v>5247.000000000001</v>
      </c>
      <c r="G35" s="70">
        <v>70.7</v>
      </c>
      <c r="H35" s="64">
        <v>298.6</v>
      </c>
      <c r="I35" s="108">
        <v>252619.10000000003</v>
      </c>
      <c r="J35" s="70">
        <v>127805.2</v>
      </c>
      <c r="K35" s="65">
        <v>12116.600000000002</v>
      </c>
      <c r="L35" s="65">
        <v>139921.8</v>
      </c>
      <c r="M35" s="110" t="s">
        <v>41</v>
      </c>
      <c r="N35" s="79">
        <v>8762.2</v>
      </c>
      <c r="O35" s="79">
        <v>407828.7</v>
      </c>
      <c r="P35" s="70">
        <v>51954.3</v>
      </c>
      <c r="Q35" s="79">
        <v>18082</v>
      </c>
      <c r="R35" s="64">
        <v>10925</v>
      </c>
      <c r="S35" s="109">
        <v>890093.1000000001</v>
      </c>
    </row>
    <row r="36" spans="1:19" s="72" customFormat="1" ht="15" customHeight="1" hidden="1">
      <c r="A36" s="81" t="s">
        <v>133</v>
      </c>
      <c r="B36" s="69">
        <v>205811.8</v>
      </c>
      <c r="C36" s="69">
        <v>56976.3</v>
      </c>
      <c r="D36" s="65">
        <v>2218.5</v>
      </c>
      <c r="E36" s="65">
        <v>7760.5</v>
      </c>
      <c r="F36" s="65">
        <v>7471.700000000001</v>
      </c>
      <c r="G36" s="70">
        <v>79.7</v>
      </c>
      <c r="H36" s="64">
        <v>271.5</v>
      </c>
      <c r="I36" s="71">
        <f>SUM(B36:H36)</f>
        <v>280590</v>
      </c>
      <c r="J36" s="70">
        <v>118464.1</v>
      </c>
      <c r="K36" s="65">
        <v>7468.099999999999</v>
      </c>
      <c r="L36" s="65">
        <f>SUM(J36:K36)</f>
        <v>125932.20000000001</v>
      </c>
      <c r="M36" s="77" t="s">
        <v>41</v>
      </c>
      <c r="N36" s="79">
        <v>3846.6</v>
      </c>
      <c r="O36" s="79">
        <v>370829.69999999995</v>
      </c>
      <c r="P36" s="70">
        <v>62981.7</v>
      </c>
      <c r="Q36" s="79">
        <v>-3424.7</v>
      </c>
      <c r="R36" s="64">
        <v>8142.1</v>
      </c>
      <c r="S36" s="73">
        <f>SUM(I36,L36:O36,R36,P36,Q36)</f>
        <v>848897.6</v>
      </c>
    </row>
    <row r="37" spans="1:20" s="80" customFormat="1" ht="15" customHeight="1" hidden="1">
      <c r="A37" s="81" t="s">
        <v>137</v>
      </c>
      <c r="B37" s="79">
        <v>201031</v>
      </c>
      <c r="C37" s="79">
        <v>65670.9</v>
      </c>
      <c r="D37" s="70">
        <v>4193</v>
      </c>
      <c r="E37" s="70">
        <v>1516.7</v>
      </c>
      <c r="F37" s="70">
        <v>4666.1</v>
      </c>
      <c r="G37" s="70">
        <v>54.7</v>
      </c>
      <c r="H37" s="64">
        <v>280.2</v>
      </c>
      <c r="I37" s="70">
        <f>SUM(B37:H37)</f>
        <v>277412.60000000003</v>
      </c>
      <c r="J37" s="70">
        <v>140502.5</v>
      </c>
      <c r="K37" s="70">
        <v>13394.6</v>
      </c>
      <c r="L37" s="70">
        <f>SUM(J37:K37)</f>
        <v>153897.1</v>
      </c>
      <c r="M37" s="77" t="s">
        <v>41</v>
      </c>
      <c r="N37" s="79">
        <v>3616.6</v>
      </c>
      <c r="O37" s="79">
        <v>380943.4</v>
      </c>
      <c r="P37" s="70">
        <v>62981.7</v>
      </c>
      <c r="Q37" s="79">
        <v>-7091.6</v>
      </c>
      <c r="R37" s="64">
        <v>8182.599999999999</v>
      </c>
      <c r="S37" s="79">
        <f>SUM(I37,L37:O37,R37,P37,Q37)</f>
        <v>879942.4</v>
      </c>
      <c r="T37" s="72"/>
    </row>
    <row r="38" spans="1:20" s="80" customFormat="1" ht="15" customHeight="1" hidden="1">
      <c r="A38" s="81" t="s">
        <v>140</v>
      </c>
      <c r="B38" s="79">
        <v>211683.7</v>
      </c>
      <c r="C38" s="79">
        <v>82710.8</v>
      </c>
      <c r="D38" s="70">
        <v>2674</v>
      </c>
      <c r="E38" s="70">
        <v>5135.8</v>
      </c>
      <c r="F38" s="70">
        <v>3566.2</v>
      </c>
      <c r="G38" s="70">
        <v>28</v>
      </c>
      <c r="H38" s="64">
        <v>787.6</v>
      </c>
      <c r="I38" s="70">
        <f>SUM(B38:H38)</f>
        <v>306586.1</v>
      </c>
      <c r="J38" s="70">
        <v>152366.7</v>
      </c>
      <c r="K38" s="70">
        <v>14733.599999999997</v>
      </c>
      <c r="L38" s="70">
        <f>SUM(J38:K38)</f>
        <v>167100.30000000002</v>
      </c>
      <c r="M38" s="77" t="s">
        <v>41</v>
      </c>
      <c r="N38" s="79">
        <v>7533</v>
      </c>
      <c r="O38" s="79">
        <v>383189.69999999995</v>
      </c>
      <c r="P38" s="70">
        <v>62981.7</v>
      </c>
      <c r="Q38" s="79">
        <v>-13851.5</v>
      </c>
      <c r="R38" s="64">
        <v>10207.7</v>
      </c>
      <c r="S38" s="79">
        <f>SUM(I38,L38:O38,R38,P38,Q38)</f>
        <v>923746.9999999999</v>
      </c>
      <c r="T38" s="72"/>
    </row>
    <row r="39" spans="1:20" s="80" customFormat="1" ht="15" customHeight="1" hidden="1">
      <c r="A39" s="82"/>
      <c r="B39" s="79"/>
      <c r="C39" s="79"/>
      <c r="D39" s="70"/>
      <c r="E39" s="70"/>
      <c r="F39" s="70"/>
      <c r="G39" s="70"/>
      <c r="H39" s="64"/>
      <c r="I39" s="70"/>
      <c r="J39" s="70"/>
      <c r="K39" s="70"/>
      <c r="L39" s="70"/>
      <c r="M39" s="77"/>
      <c r="N39" s="79"/>
      <c r="O39" s="79"/>
      <c r="P39" s="70"/>
      <c r="Q39" s="79"/>
      <c r="R39" s="64"/>
      <c r="S39" s="79"/>
      <c r="T39" s="72"/>
    </row>
    <row r="40" spans="1:20" s="80" customFormat="1" ht="15" customHeight="1" hidden="1">
      <c r="A40" s="81" t="s">
        <v>125</v>
      </c>
      <c r="B40" s="79">
        <v>201300.8</v>
      </c>
      <c r="C40" s="79">
        <v>70896.4</v>
      </c>
      <c r="D40" s="70">
        <v>1135.9</v>
      </c>
      <c r="E40" s="70">
        <v>426.9</v>
      </c>
      <c r="F40" s="70">
        <v>1041.5</v>
      </c>
      <c r="G40" s="70">
        <v>24.6</v>
      </c>
      <c r="H40" s="64">
        <v>1373.4</v>
      </c>
      <c r="I40" s="70">
        <f>SUM(B40:H40)</f>
        <v>276199.5</v>
      </c>
      <c r="J40" s="70">
        <v>151558.6</v>
      </c>
      <c r="K40" s="70">
        <v>9517.3</v>
      </c>
      <c r="L40" s="70">
        <f>SUM(J40:K40)</f>
        <v>161075.9</v>
      </c>
      <c r="M40" s="77">
        <v>27200</v>
      </c>
      <c r="N40" s="79">
        <v>6602.2</v>
      </c>
      <c r="O40" s="79">
        <v>396544.3</v>
      </c>
      <c r="P40" s="70">
        <v>62981.7</v>
      </c>
      <c r="Q40" s="79">
        <v>-13903.7</v>
      </c>
      <c r="R40" s="64">
        <f>1098+8346.4+7.5</f>
        <v>9451.9</v>
      </c>
      <c r="S40" s="79">
        <f>SUM(I40,L40:O40,R40,P40,Q40)</f>
        <v>926151.8</v>
      </c>
      <c r="T40" s="72"/>
    </row>
    <row r="41" spans="1:20" s="80" customFormat="1" ht="15" customHeight="1" hidden="1">
      <c r="A41" s="81" t="s">
        <v>122</v>
      </c>
      <c r="B41" s="79">
        <v>223781.8</v>
      </c>
      <c r="C41" s="79">
        <v>100650</v>
      </c>
      <c r="D41" s="70">
        <v>1303.5</v>
      </c>
      <c r="E41" s="70">
        <v>1428.4</v>
      </c>
      <c r="F41" s="70">
        <v>6385</v>
      </c>
      <c r="G41" s="70">
        <v>20.2</v>
      </c>
      <c r="H41" s="64">
        <v>1329.6</v>
      </c>
      <c r="I41" s="70">
        <f>SUM(B41:H41)</f>
        <v>334898.5</v>
      </c>
      <c r="J41" s="70">
        <v>142792.2</v>
      </c>
      <c r="K41" s="70">
        <v>8597.5</v>
      </c>
      <c r="L41" s="70">
        <f>SUM(J41:K41)</f>
        <v>151389.7</v>
      </c>
      <c r="M41" s="77" t="s">
        <v>41</v>
      </c>
      <c r="N41" s="79">
        <v>2743.8</v>
      </c>
      <c r="O41" s="79">
        <v>397532.8</v>
      </c>
      <c r="P41" s="70">
        <v>78783.3</v>
      </c>
      <c r="Q41" s="79">
        <v>2716.3</v>
      </c>
      <c r="R41" s="64">
        <f>1057.4+8115.5+3615.5</f>
        <v>12788.4</v>
      </c>
      <c r="S41" s="79">
        <f>SUM(I41,L41:O41,R41,P41,Q41)</f>
        <v>980852.8000000002</v>
      </c>
      <c r="T41" s="72"/>
    </row>
    <row r="42" spans="1:20" s="80" customFormat="1" ht="15" customHeight="1" hidden="1">
      <c r="A42" s="81" t="s">
        <v>152</v>
      </c>
      <c r="B42" s="79">
        <v>222708</v>
      </c>
      <c r="C42" s="79">
        <v>80783.1</v>
      </c>
      <c r="D42" s="70">
        <v>2407.5</v>
      </c>
      <c r="E42" s="70">
        <v>631.5</v>
      </c>
      <c r="F42" s="70">
        <v>2153.6</v>
      </c>
      <c r="G42" s="70">
        <v>23.3</v>
      </c>
      <c r="H42" s="64">
        <v>969.1</v>
      </c>
      <c r="I42" s="70">
        <f>SUM(B42:H42)</f>
        <v>309676.0999999999</v>
      </c>
      <c r="J42" s="70">
        <v>210768.8</v>
      </c>
      <c r="K42" s="70">
        <v>15246.7</v>
      </c>
      <c r="L42" s="70">
        <f>SUM(J42:K42)</f>
        <v>226015.5</v>
      </c>
      <c r="M42" s="77" t="s">
        <v>41</v>
      </c>
      <c r="N42" s="79">
        <v>8443.4</v>
      </c>
      <c r="O42" s="79">
        <v>382067.5</v>
      </c>
      <c r="P42" s="70">
        <v>78783.3</v>
      </c>
      <c r="Q42" s="79">
        <v>4209.9</v>
      </c>
      <c r="R42" s="64">
        <f>1055.6+7861.1+4.1</f>
        <v>8920.800000000001</v>
      </c>
      <c r="S42" s="79">
        <f>SUM(I42,L42:O42,R42,P42,Q42)</f>
        <v>1018116.5</v>
      </c>
      <c r="T42" s="72"/>
    </row>
    <row r="43" spans="1:20" s="80" customFormat="1" ht="15" customHeight="1" hidden="1">
      <c r="A43" s="81" t="s">
        <v>155</v>
      </c>
      <c r="B43" s="79">
        <v>227340.9</v>
      </c>
      <c r="C43" s="79">
        <v>120095.4</v>
      </c>
      <c r="D43" s="70">
        <v>1624.7</v>
      </c>
      <c r="E43" s="70">
        <v>1035.1</v>
      </c>
      <c r="F43" s="70">
        <v>3555.9</v>
      </c>
      <c r="G43" s="70">
        <v>22.9</v>
      </c>
      <c r="H43" s="64">
        <v>1326.1</v>
      </c>
      <c r="I43" s="70">
        <f>SUM(B43:H43)</f>
        <v>355001</v>
      </c>
      <c r="J43" s="70">
        <v>170878.6</v>
      </c>
      <c r="K43" s="70">
        <v>13593.9</v>
      </c>
      <c r="L43" s="70">
        <f>SUM(J43:K43)</f>
        <v>184472.5</v>
      </c>
      <c r="M43" s="77" t="s">
        <v>41</v>
      </c>
      <c r="N43" s="79">
        <v>9222.6</v>
      </c>
      <c r="O43" s="79">
        <v>372538.8</v>
      </c>
      <c r="P43" s="70">
        <v>82125.3</v>
      </c>
      <c r="Q43" s="79">
        <v>8152.8</v>
      </c>
      <c r="R43" s="64">
        <f>1064.1+10111.9+5977.7</f>
        <v>17153.7</v>
      </c>
      <c r="S43" s="79">
        <f>SUM(I43,L43:O43,R43,P43,Q43)</f>
        <v>1028666.7</v>
      </c>
      <c r="T43" s="72"/>
    </row>
    <row r="44" spans="1:20" s="80" customFormat="1" ht="15" customHeight="1">
      <c r="A44" s="81"/>
      <c r="B44" s="79"/>
      <c r="C44" s="79"/>
      <c r="D44" s="70"/>
      <c r="E44" s="70"/>
      <c r="F44" s="70"/>
      <c r="G44" s="70"/>
      <c r="H44" s="64"/>
      <c r="I44" s="70"/>
      <c r="J44" s="70"/>
      <c r="K44" s="70"/>
      <c r="L44" s="70"/>
      <c r="M44" s="110"/>
      <c r="N44" s="79"/>
      <c r="O44" s="79"/>
      <c r="P44" s="70"/>
      <c r="Q44" s="79"/>
      <c r="R44" s="64"/>
      <c r="S44" s="79"/>
      <c r="T44" s="72"/>
    </row>
    <row r="45" spans="1:20" s="80" customFormat="1" ht="15" customHeight="1">
      <c r="A45" s="97"/>
      <c r="B45" s="79"/>
      <c r="C45" s="79"/>
      <c r="D45" s="70"/>
      <c r="E45" s="70"/>
      <c r="F45" s="70"/>
      <c r="G45" s="70"/>
      <c r="H45" s="64"/>
      <c r="I45" s="70"/>
      <c r="J45" s="70"/>
      <c r="K45" s="70"/>
      <c r="L45" s="70"/>
      <c r="M45" s="77"/>
      <c r="N45" s="79"/>
      <c r="O45" s="79"/>
      <c r="P45" s="70"/>
      <c r="Q45" s="79"/>
      <c r="R45" s="64"/>
      <c r="S45" s="79"/>
      <c r="T45" s="72"/>
    </row>
    <row r="46" spans="1:20" s="80" customFormat="1" ht="15" customHeight="1">
      <c r="A46" s="97" t="s">
        <v>126</v>
      </c>
      <c r="B46" s="79">
        <v>223176.6</v>
      </c>
      <c r="C46" s="79">
        <v>71767.6</v>
      </c>
      <c r="D46" s="70">
        <v>1878.3</v>
      </c>
      <c r="E46" s="70">
        <v>1593.8</v>
      </c>
      <c r="F46" s="70">
        <v>4089.8</v>
      </c>
      <c r="G46" s="70">
        <v>47.4</v>
      </c>
      <c r="H46" s="64">
        <v>243.7</v>
      </c>
      <c r="I46" s="70">
        <f>SUM(B46:H46)</f>
        <v>302797.2</v>
      </c>
      <c r="J46" s="70">
        <v>177861.5</v>
      </c>
      <c r="K46" s="70">
        <v>18845.1</v>
      </c>
      <c r="L46" s="70">
        <f>SUM(J46:K46)</f>
        <v>196706.6</v>
      </c>
      <c r="M46" s="77" t="s">
        <v>41</v>
      </c>
      <c r="N46" s="79">
        <v>10123.6</v>
      </c>
      <c r="O46" s="79">
        <v>356984.6</v>
      </c>
      <c r="P46" s="70">
        <v>82192</v>
      </c>
      <c r="Q46" s="79">
        <v>13545.7</v>
      </c>
      <c r="R46" s="64">
        <f>1091.7+7442.4+6.9</f>
        <v>8541</v>
      </c>
      <c r="S46" s="79">
        <f>SUM(I46,L46:O46,R46,P46,Q46)</f>
        <v>970890.7</v>
      </c>
      <c r="T46" s="72"/>
    </row>
    <row r="47" spans="1:20" s="80" customFormat="1" ht="15" customHeight="1">
      <c r="A47" s="97" t="s">
        <v>121</v>
      </c>
      <c r="B47" s="79">
        <v>254961.4</v>
      </c>
      <c r="C47" s="79">
        <v>63611.8</v>
      </c>
      <c r="D47" s="70">
        <v>2089.9</v>
      </c>
      <c r="E47" s="70">
        <v>9771.3</v>
      </c>
      <c r="F47" s="70">
        <v>3640.6</v>
      </c>
      <c r="G47" s="70">
        <v>62.4</v>
      </c>
      <c r="H47" s="64">
        <v>357.5</v>
      </c>
      <c r="I47" s="70">
        <f>SUM(B47:H47)</f>
        <v>334494.9</v>
      </c>
      <c r="J47" s="70">
        <v>170313</v>
      </c>
      <c r="K47" s="70">
        <v>15899.1</v>
      </c>
      <c r="L47" s="70">
        <f>SUM(J47:K47)</f>
        <v>186212.1</v>
      </c>
      <c r="M47" s="77" t="s">
        <v>41</v>
      </c>
      <c r="N47" s="79">
        <v>1293.3</v>
      </c>
      <c r="O47" s="79">
        <v>361289.7</v>
      </c>
      <c r="P47" s="70">
        <v>87845.1</v>
      </c>
      <c r="Q47" s="79">
        <v>5626.8</v>
      </c>
      <c r="R47" s="64">
        <f>1101.1+7274.1+6.3</f>
        <v>8381.5</v>
      </c>
      <c r="S47" s="79">
        <f>SUM(I47,L47:O47,R47,P47,Q47)</f>
        <v>985143.4</v>
      </c>
      <c r="T47" s="72"/>
    </row>
    <row r="48" spans="1:20" s="80" customFormat="1" ht="15" customHeight="1">
      <c r="A48" s="97" t="s">
        <v>129</v>
      </c>
      <c r="B48" s="79">
        <v>216072.1</v>
      </c>
      <c r="C48" s="79">
        <v>79716.8</v>
      </c>
      <c r="D48" s="70">
        <v>3810.3</v>
      </c>
      <c r="E48" s="70">
        <v>5700.2</v>
      </c>
      <c r="F48" s="70">
        <v>8658</v>
      </c>
      <c r="G48" s="70">
        <v>33.1</v>
      </c>
      <c r="H48" s="64">
        <v>323.5</v>
      </c>
      <c r="I48" s="70">
        <f>SUM(B48:H48)</f>
        <v>314314</v>
      </c>
      <c r="J48" s="70">
        <v>160628.9</v>
      </c>
      <c r="K48" s="70">
        <v>19205.5</v>
      </c>
      <c r="L48" s="70">
        <f>SUM(J48:K48)</f>
        <v>179834.4</v>
      </c>
      <c r="M48" s="77" t="s">
        <v>41</v>
      </c>
      <c r="N48" s="79">
        <v>1252.3</v>
      </c>
      <c r="O48" s="79">
        <v>351304.8</v>
      </c>
      <c r="P48" s="70">
        <v>87845.1</v>
      </c>
      <c r="Q48" s="79">
        <v>643.9</v>
      </c>
      <c r="R48" s="64">
        <f>1274.9+6928.9+5.2</f>
        <v>8209</v>
      </c>
      <c r="S48" s="79">
        <f>SUM(I48,L48:O48,R48,P48,Q48)</f>
        <v>943403.5</v>
      </c>
      <c r="T48" s="72"/>
    </row>
    <row r="49" spans="1:20" s="80" customFormat="1" ht="15" customHeight="1">
      <c r="A49" s="97" t="s">
        <v>130</v>
      </c>
      <c r="B49" s="79">
        <v>230723.7</v>
      </c>
      <c r="C49" s="79">
        <v>84351</v>
      </c>
      <c r="D49" s="70">
        <v>2209.5</v>
      </c>
      <c r="E49" s="70">
        <v>1611</v>
      </c>
      <c r="F49" s="70">
        <v>4368.5</v>
      </c>
      <c r="G49" s="70">
        <v>44.5</v>
      </c>
      <c r="H49" s="64">
        <v>1200</v>
      </c>
      <c r="I49" s="70">
        <f>SUM(B49:H49)</f>
        <v>324508.2</v>
      </c>
      <c r="J49" s="70">
        <v>171839.3</v>
      </c>
      <c r="K49" s="70">
        <v>17303.7</v>
      </c>
      <c r="L49" s="70">
        <f>SUM(J49:K49)</f>
        <v>189143</v>
      </c>
      <c r="M49" s="110" t="s">
        <v>41</v>
      </c>
      <c r="N49" s="79">
        <v>5645.1</v>
      </c>
      <c r="O49" s="79">
        <v>354815.2</v>
      </c>
      <c r="P49" s="70">
        <v>87845.1</v>
      </c>
      <c r="Q49" s="79">
        <v>1265</v>
      </c>
      <c r="R49" s="64">
        <f>1187.7+6374.8+2.4</f>
        <v>7564.9</v>
      </c>
      <c r="S49" s="79">
        <f>SUM(I49,L49:O49,R49,P49,Q49)</f>
        <v>970786.5</v>
      </c>
      <c r="T49" s="72"/>
    </row>
    <row r="50" spans="1:20" s="80" customFormat="1" ht="15" customHeight="1">
      <c r="A50" s="97"/>
      <c r="B50" s="79"/>
      <c r="C50" s="79"/>
      <c r="D50" s="70"/>
      <c r="E50" s="70"/>
      <c r="F50" s="70"/>
      <c r="G50" s="70"/>
      <c r="H50" s="64"/>
      <c r="I50" s="70"/>
      <c r="J50" s="70"/>
      <c r="K50" s="70"/>
      <c r="L50" s="70"/>
      <c r="M50" s="77"/>
      <c r="N50" s="79"/>
      <c r="O50" s="79"/>
      <c r="P50" s="70"/>
      <c r="Q50" s="79"/>
      <c r="R50" s="64"/>
      <c r="S50" s="79"/>
      <c r="T50" s="72"/>
    </row>
    <row r="51" spans="1:20" s="80" customFormat="1" ht="15" customHeight="1">
      <c r="A51" s="97" t="s">
        <v>145</v>
      </c>
      <c r="B51" s="79">
        <v>219964.2</v>
      </c>
      <c r="C51" s="79">
        <v>94301.6</v>
      </c>
      <c r="D51" s="70">
        <v>2734.9</v>
      </c>
      <c r="E51" s="70">
        <v>2510.7</v>
      </c>
      <c r="F51" s="70">
        <v>2813.9</v>
      </c>
      <c r="G51" s="70">
        <v>26.4</v>
      </c>
      <c r="H51" s="64">
        <v>910.3</v>
      </c>
      <c r="I51" s="70">
        <f>SUM(B51:H51)</f>
        <v>323262.0000000001</v>
      </c>
      <c r="J51" s="70">
        <v>165597.4</v>
      </c>
      <c r="K51" s="70">
        <v>16333.1</v>
      </c>
      <c r="L51" s="70">
        <f>SUM(J51:K51)</f>
        <v>181930.5</v>
      </c>
      <c r="M51" s="110" t="s">
        <v>41</v>
      </c>
      <c r="N51" s="79">
        <v>5204</v>
      </c>
      <c r="O51" s="79">
        <v>350173.8</v>
      </c>
      <c r="P51" s="70">
        <v>87845.1</v>
      </c>
      <c r="Q51" s="79">
        <v>-3581.8</v>
      </c>
      <c r="R51" s="64">
        <f>1206.1+6336.3+3.2</f>
        <v>7545.599999999999</v>
      </c>
      <c r="S51" s="79">
        <f aca="true" t="shared" si="3" ref="S51:S64">SUM(I51,L51:O51,R51,P51,Q51)</f>
        <v>952379.2</v>
      </c>
      <c r="T51" s="72"/>
    </row>
    <row r="52" spans="1:20" s="80" customFormat="1" ht="15" customHeight="1">
      <c r="A52" s="97" t="s">
        <v>121</v>
      </c>
      <c r="B52" s="79">
        <v>255415.5</v>
      </c>
      <c r="C52" s="79">
        <v>98845.3</v>
      </c>
      <c r="D52" s="70">
        <v>1740</v>
      </c>
      <c r="E52" s="70">
        <v>3186.6</v>
      </c>
      <c r="F52" s="70">
        <v>4307.5</v>
      </c>
      <c r="G52" s="70">
        <v>16.1</v>
      </c>
      <c r="H52" s="64">
        <v>557.9</v>
      </c>
      <c r="I52" s="70">
        <f>SUM(B52:H52)</f>
        <v>364068.89999999997</v>
      </c>
      <c r="J52" s="70">
        <v>168849</v>
      </c>
      <c r="K52" s="70">
        <v>24468.2</v>
      </c>
      <c r="L52" s="70">
        <f>SUM(J52:K52)</f>
        <v>193317.2</v>
      </c>
      <c r="M52" s="110" t="s">
        <v>41</v>
      </c>
      <c r="N52" s="79">
        <v>5535.4</v>
      </c>
      <c r="O52" s="79">
        <v>351838.8</v>
      </c>
      <c r="P52" s="70">
        <v>87845.1</v>
      </c>
      <c r="Q52" s="79">
        <v>-2252.6</v>
      </c>
      <c r="R52" s="64">
        <f>1938.5+6025.6+20.7</f>
        <v>7984.8</v>
      </c>
      <c r="S52" s="79">
        <f t="shared" si="3"/>
        <v>1008337.6000000001</v>
      </c>
      <c r="T52" s="72"/>
    </row>
    <row r="53" spans="1:22" s="72" customFormat="1" ht="15" customHeight="1" hidden="1">
      <c r="A53" s="81" t="s">
        <v>43</v>
      </c>
      <c r="B53" s="69">
        <v>87847.1</v>
      </c>
      <c r="C53" s="69">
        <v>21116.2</v>
      </c>
      <c r="D53" s="65">
        <v>751.6999999999999</v>
      </c>
      <c r="E53" s="77" t="s">
        <v>41</v>
      </c>
      <c r="F53" s="65">
        <v>1538.8</v>
      </c>
      <c r="G53" s="70">
        <v>459</v>
      </c>
      <c r="H53" s="64">
        <v>2177.2</v>
      </c>
      <c r="I53" s="71">
        <f aca="true" t="shared" si="4" ref="I53:I99">SUM(B53:H53)</f>
        <v>113890</v>
      </c>
      <c r="J53" s="70">
        <v>59366.00000000001</v>
      </c>
      <c r="K53" s="65">
        <v>3295.6</v>
      </c>
      <c r="L53" s="67">
        <f aca="true" t="shared" si="5" ref="L53:L99">SUM(J53:K53)</f>
        <v>62661.600000000006</v>
      </c>
      <c r="M53" s="77" t="s">
        <v>41</v>
      </c>
      <c r="N53" s="69">
        <v>2368.6</v>
      </c>
      <c r="O53" s="69">
        <v>157560.9</v>
      </c>
      <c r="P53" s="71">
        <v>17178.6</v>
      </c>
      <c r="Q53" s="73">
        <v>18725.1</v>
      </c>
      <c r="R53" s="66">
        <v>25760.299999999996</v>
      </c>
      <c r="S53" s="73">
        <f t="shared" si="3"/>
        <v>398145.0999999999</v>
      </c>
      <c r="V53" s="72">
        <f>+S53-U53</f>
        <v>398145.0999999999</v>
      </c>
    </row>
    <row r="54" spans="1:22" s="72" customFormat="1" ht="15" customHeight="1" hidden="1">
      <c r="A54" s="81" t="s">
        <v>50</v>
      </c>
      <c r="B54" s="69">
        <v>88984.4</v>
      </c>
      <c r="C54" s="69">
        <v>19977.3</v>
      </c>
      <c r="D54" s="65">
        <v>1824.2999999999997</v>
      </c>
      <c r="E54" s="77" t="s">
        <v>41</v>
      </c>
      <c r="F54" s="65">
        <v>1165.7</v>
      </c>
      <c r="G54" s="70">
        <v>398.2</v>
      </c>
      <c r="H54" s="64">
        <v>2259.2999999999997</v>
      </c>
      <c r="I54" s="71">
        <f t="shared" si="4"/>
        <v>114609.2</v>
      </c>
      <c r="J54" s="70">
        <v>54535.1</v>
      </c>
      <c r="K54" s="65">
        <v>4006.3999999999996</v>
      </c>
      <c r="L54" s="67">
        <f t="shared" si="5"/>
        <v>58541.5</v>
      </c>
      <c r="M54" s="77" t="s">
        <v>41</v>
      </c>
      <c r="N54" s="69">
        <v>2117.2</v>
      </c>
      <c r="O54" s="69">
        <v>159092.1</v>
      </c>
      <c r="P54" s="71">
        <v>17173.8</v>
      </c>
      <c r="Q54" s="73">
        <v>20568</v>
      </c>
      <c r="R54" s="66">
        <v>22879.600000000002</v>
      </c>
      <c r="S54" s="73">
        <f t="shared" si="3"/>
        <v>394981.39999999997</v>
      </c>
      <c r="V54" s="72">
        <f aca="true" t="shared" si="6" ref="V54:V64">+S54-U54</f>
        <v>394981.39999999997</v>
      </c>
    </row>
    <row r="55" spans="1:22" s="72" customFormat="1" ht="15" customHeight="1" hidden="1">
      <c r="A55" s="81" t="s">
        <v>44</v>
      </c>
      <c r="B55" s="69">
        <v>89739.6</v>
      </c>
      <c r="C55" s="69">
        <v>23461.300000000003</v>
      </c>
      <c r="D55" s="65">
        <v>1391.6999999999998</v>
      </c>
      <c r="E55" s="77" t="s">
        <v>41</v>
      </c>
      <c r="F55" s="65">
        <v>1864.2</v>
      </c>
      <c r="G55" s="70">
        <v>340.6</v>
      </c>
      <c r="H55" s="64">
        <v>2050.2999999999997</v>
      </c>
      <c r="I55" s="71">
        <f t="shared" si="4"/>
        <v>118847.70000000001</v>
      </c>
      <c r="J55" s="70">
        <v>60736.3</v>
      </c>
      <c r="K55" s="65">
        <v>5104.1</v>
      </c>
      <c r="L55" s="67">
        <f t="shared" si="5"/>
        <v>65840.40000000001</v>
      </c>
      <c r="M55" s="65">
        <v>3000</v>
      </c>
      <c r="N55" s="69">
        <v>2145.2</v>
      </c>
      <c r="O55" s="69">
        <v>168291.5</v>
      </c>
      <c r="P55" s="71">
        <v>19150.7</v>
      </c>
      <c r="Q55" s="73">
        <v>11489.8</v>
      </c>
      <c r="R55" s="66">
        <v>22978.099999999995</v>
      </c>
      <c r="S55" s="73">
        <f t="shared" si="3"/>
        <v>411743.4</v>
      </c>
      <c r="V55" s="72">
        <f t="shared" si="6"/>
        <v>411743.4</v>
      </c>
    </row>
    <row r="56" spans="1:22" s="72" customFormat="1" ht="15" customHeight="1" hidden="1">
      <c r="A56" s="81" t="s">
        <v>52</v>
      </c>
      <c r="B56" s="69">
        <v>98410.2</v>
      </c>
      <c r="C56" s="69">
        <v>22480</v>
      </c>
      <c r="D56" s="65">
        <v>1734.1</v>
      </c>
      <c r="E56" s="77" t="s">
        <v>41</v>
      </c>
      <c r="F56" s="65">
        <v>2398.0000000000005</v>
      </c>
      <c r="G56" s="70">
        <v>261.4</v>
      </c>
      <c r="H56" s="64">
        <v>1930.2999999999997</v>
      </c>
      <c r="I56" s="71">
        <f t="shared" si="4"/>
        <v>127214</v>
      </c>
      <c r="J56" s="70">
        <v>68597.9</v>
      </c>
      <c r="K56" s="65">
        <v>5030.9</v>
      </c>
      <c r="L56" s="67">
        <f t="shared" si="5"/>
        <v>73628.79999999999</v>
      </c>
      <c r="M56" s="77" t="s">
        <v>41</v>
      </c>
      <c r="N56" s="69">
        <v>1906.4</v>
      </c>
      <c r="O56" s="69">
        <v>163484.1</v>
      </c>
      <c r="P56" s="71">
        <v>19150.7</v>
      </c>
      <c r="Q56" s="73">
        <v>9489.6</v>
      </c>
      <c r="R56" s="66">
        <v>23361.800000000007</v>
      </c>
      <c r="S56" s="73">
        <f t="shared" si="3"/>
        <v>418235.39999999997</v>
      </c>
      <c r="V56" s="72">
        <f t="shared" si="6"/>
        <v>418235.39999999997</v>
      </c>
    </row>
    <row r="57" spans="1:22" s="72" customFormat="1" ht="15" customHeight="1" hidden="1">
      <c r="A57" s="81" t="s">
        <v>53</v>
      </c>
      <c r="B57" s="69">
        <v>98766.6</v>
      </c>
      <c r="C57" s="69">
        <v>23173.1</v>
      </c>
      <c r="D57" s="65">
        <v>1414.8</v>
      </c>
      <c r="E57" s="77" t="s">
        <v>41</v>
      </c>
      <c r="F57" s="65">
        <v>1675.1769999999997</v>
      </c>
      <c r="G57" s="70">
        <v>336.5</v>
      </c>
      <c r="H57" s="64">
        <v>2158.7</v>
      </c>
      <c r="I57" s="71">
        <f t="shared" si="4"/>
        <v>127524.87700000001</v>
      </c>
      <c r="J57" s="70">
        <v>60457.023</v>
      </c>
      <c r="K57" s="65">
        <v>5029.299999999999</v>
      </c>
      <c r="L57" s="67">
        <f t="shared" si="5"/>
        <v>65486.323000000004</v>
      </c>
      <c r="M57" s="65">
        <v>5000</v>
      </c>
      <c r="N57" s="69">
        <v>2593.4</v>
      </c>
      <c r="O57" s="69">
        <v>163549.40000000002</v>
      </c>
      <c r="P57" s="71">
        <v>19150.7</v>
      </c>
      <c r="Q57" s="73">
        <v>11034.9</v>
      </c>
      <c r="R57" s="66">
        <v>21917.499999999996</v>
      </c>
      <c r="S57" s="73">
        <f t="shared" si="3"/>
        <v>416257.10000000003</v>
      </c>
      <c r="V57" s="72">
        <f t="shared" si="6"/>
        <v>416257.10000000003</v>
      </c>
    </row>
    <row r="58" spans="1:22" s="72" customFormat="1" ht="15" customHeight="1" hidden="1">
      <c r="A58" s="81" t="s">
        <v>54</v>
      </c>
      <c r="B58" s="69">
        <v>109147.9</v>
      </c>
      <c r="C58" s="69">
        <v>18877.9</v>
      </c>
      <c r="D58" s="65">
        <v>1506.9</v>
      </c>
      <c r="E58" s="77" t="s">
        <v>41</v>
      </c>
      <c r="F58" s="65">
        <v>4287.1</v>
      </c>
      <c r="G58" s="70">
        <v>490.1</v>
      </c>
      <c r="H58" s="64">
        <v>1501.1</v>
      </c>
      <c r="I58" s="71">
        <f t="shared" si="4"/>
        <v>135811</v>
      </c>
      <c r="J58" s="70">
        <v>54287.4</v>
      </c>
      <c r="K58" s="65">
        <v>4481.299999999999</v>
      </c>
      <c r="L58" s="67">
        <f t="shared" si="5"/>
        <v>58768.7</v>
      </c>
      <c r="M58" s="77" t="s">
        <v>41</v>
      </c>
      <c r="N58" s="69">
        <v>2889.3</v>
      </c>
      <c r="O58" s="69">
        <v>166752.5</v>
      </c>
      <c r="P58" s="71">
        <v>19150.7</v>
      </c>
      <c r="Q58" s="73">
        <v>13870.1</v>
      </c>
      <c r="R58" s="66">
        <v>22506.300000000007</v>
      </c>
      <c r="S58" s="73">
        <f t="shared" si="3"/>
        <v>419748.6</v>
      </c>
      <c r="V58" s="72">
        <f t="shared" si="6"/>
        <v>419748.6</v>
      </c>
    </row>
    <row r="59" spans="1:22" s="72" customFormat="1" ht="15" customHeight="1" hidden="1">
      <c r="A59" s="81" t="s">
        <v>55</v>
      </c>
      <c r="B59" s="69">
        <v>121800.8</v>
      </c>
      <c r="C59" s="69">
        <v>21782.1</v>
      </c>
      <c r="D59" s="65">
        <v>1271.3</v>
      </c>
      <c r="E59" s="77" t="s">
        <v>41</v>
      </c>
      <c r="F59" s="65">
        <v>1552.6999999999998</v>
      </c>
      <c r="G59" s="70">
        <v>456.2</v>
      </c>
      <c r="H59" s="64">
        <v>2042.5999999999997</v>
      </c>
      <c r="I59" s="71">
        <f t="shared" si="4"/>
        <v>148905.7</v>
      </c>
      <c r="J59" s="70">
        <v>51778.40000000001</v>
      </c>
      <c r="K59" s="65">
        <v>3757.399999999999</v>
      </c>
      <c r="L59" s="67">
        <f t="shared" si="5"/>
        <v>55535.80000000001</v>
      </c>
      <c r="M59" s="77" t="s">
        <v>41</v>
      </c>
      <c r="N59" s="69">
        <v>2612.9</v>
      </c>
      <c r="O59" s="69">
        <v>177733.2</v>
      </c>
      <c r="P59" s="71">
        <v>19150.7</v>
      </c>
      <c r="Q59" s="73">
        <v>15348.1</v>
      </c>
      <c r="R59" s="66">
        <v>21131.899999999998</v>
      </c>
      <c r="S59" s="73">
        <f t="shared" si="3"/>
        <v>440418.30000000005</v>
      </c>
      <c r="V59" s="72">
        <f t="shared" si="6"/>
        <v>440418.30000000005</v>
      </c>
    </row>
    <row r="60" spans="1:22" s="72" customFormat="1" ht="15" customHeight="1" hidden="1">
      <c r="A60" s="81" t="s">
        <v>56</v>
      </c>
      <c r="B60" s="69">
        <v>121398.7</v>
      </c>
      <c r="C60" s="69">
        <v>17654.9</v>
      </c>
      <c r="D60" s="65">
        <v>920.4000000000001</v>
      </c>
      <c r="E60" s="77" t="s">
        <v>41</v>
      </c>
      <c r="F60" s="65">
        <v>1198.7</v>
      </c>
      <c r="G60" s="70">
        <v>293.2</v>
      </c>
      <c r="H60" s="64">
        <v>2010.8</v>
      </c>
      <c r="I60" s="71">
        <f t="shared" si="4"/>
        <v>143476.7</v>
      </c>
      <c r="J60" s="70">
        <v>70846.9</v>
      </c>
      <c r="K60" s="65">
        <v>5001.999999999999</v>
      </c>
      <c r="L60" s="67">
        <f t="shared" si="5"/>
        <v>75848.9</v>
      </c>
      <c r="M60" s="77" t="s">
        <v>41</v>
      </c>
      <c r="N60" s="69">
        <v>3329</v>
      </c>
      <c r="O60" s="69">
        <v>170889.4</v>
      </c>
      <c r="P60" s="71">
        <v>19150.7</v>
      </c>
      <c r="Q60" s="73">
        <v>14588.1</v>
      </c>
      <c r="R60" s="66">
        <v>20311.999999999996</v>
      </c>
      <c r="S60" s="73">
        <f t="shared" si="3"/>
        <v>447594.8</v>
      </c>
      <c r="V60" s="72">
        <f t="shared" si="6"/>
        <v>447594.8</v>
      </c>
    </row>
    <row r="61" spans="1:22" s="72" customFormat="1" ht="15" customHeight="1" hidden="1">
      <c r="A61" s="81" t="s">
        <v>58</v>
      </c>
      <c r="B61" s="69">
        <v>123002.6</v>
      </c>
      <c r="C61" s="69">
        <v>17303.1</v>
      </c>
      <c r="D61" s="65">
        <v>1436.6</v>
      </c>
      <c r="E61" s="77" t="s">
        <v>41</v>
      </c>
      <c r="F61" s="65">
        <v>2300</v>
      </c>
      <c r="G61" s="70">
        <v>256.1</v>
      </c>
      <c r="H61" s="64">
        <v>2635.2</v>
      </c>
      <c r="I61" s="71">
        <f t="shared" si="4"/>
        <v>146933.60000000003</v>
      </c>
      <c r="J61" s="70">
        <v>55193.79999999999</v>
      </c>
      <c r="K61" s="65">
        <v>5380.500000000001</v>
      </c>
      <c r="L61" s="67">
        <f t="shared" si="5"/>
        <v>60574.29999999999</v>
      </c>
      <c r="M61" s="77" t="s">
        <v>41</v>
      </c>
      <c r="N61" s="69">
        <v>3473.3</v>
      </c>
      <c r="O61" s="69">
        <v>172169.9</v>
      </c>
      <c r="P61" s="71">
        <v>19150.7</v>
      </c>
      <c r="Q61" s="73">
        <v>13380.7</v>
      </c>
      <c r="R61" s="66">
        <v>20523.2</v>
      </c>
      <c r="S61" s="73">
        <f t="shared" si="3"/>
        <v>436205.7</v>
      </c>
      <c r="V61" s="72">
        <f t="shared" si="6"/>
        <v>436205.7</v>
      </c>
    </row>
    <row r="62" spans="1:22" s="72" customFormat="1" ht="15" customHeight="1" hidden="1">
      <c r="A62" s="81" t="s">
        <v>59</v>
      </c>
      <c r="B62" s="69">
        <v>118622.6</v>
      </c>
      <c r="C62" s="69">
        <v>23160.4</v>
      </c>
      <c r="D62" s="65">
        <v>835.6</v>
      </c>
      <c r="E62" s="77" t="s">
        <v>41</v>
      </c>
      <c r="F62" s="65">
        <v>1851.5</v>
      </c>
      <c r="G62" s="70">
        <v>143.6</v>
      </c>
      <c r="H62" s="64">
        <v>1653.9</v>
      </c>
      <c r="I62" s="71">
        <f t="shared" si="4"/>
        <v>146267.6</v>
      </c>
      <c r="J62" s="70">
        <v>61009.2</v>
      </c>
      <c r="K62" s="65">
        <v>6128.4</v>
      </c>
      <c r="L62" s="67">
        <f t="shared" si="5"/>
        <v>67137.59999999999</v>
      </c>
      <c r="M62" s="77" t="s">
        <v>41</v>
      </c>
      <c r="N62" s="69">
        <v>3310.6</v>
      </c>
      <c r="O62" s="69">
        <v>167470.6</v>
      </c>
      <c r="P62" s="71">
        <v>19150.7</v>
      </c>
      <c r="Q62" s="73">
        <v>12779.6</v>
      </c>
      <c r="R62" s="66">
        <v>24096.899999999998</v>
      </c>
      <c r="S62" s="73">
        <f t="shared" si="3"/>
        <v>440213.60000000003</v>
      </c>
      <c r="V62" s="72">
        <f t="shared" si="6"/>
        <v>440213.60000000003</v>
      </c>
    </row>
    <row r="63" spans="1:22" s="72" customFormat="1" ht="15" customHeight="1" hidden="1">
      <c r="A63" s="81" t="s">
        <v>60</v>
      </c>
      <c r="B63" s="69">
        <v>116373.1</v>
      </c>
      <c r="C63" s="69">
        <v>20223</v>
      </c>
      <c r="D63" s="65">
        <v>632.4</v>
      </c>
      <c r="E63" s="77" t="s">
        <v>41</v>
      </c>
      <c r="F63" s="65">
        <v>1054.3</v>
      </c>
      <c r="G63" s="70">
        <v>133</v>
      </c>
      <c r="H63" s="64">
        <v>1621.7</v>
      </c>
      <c r="I63" s="71">
        <f t="shared" si="4"/>
        <v>140037.5</v>
      </c>
      <c r="J63" s="70">
        <v>64713.2</v>
      </c>
      <c r="K63" s="65">
        <v>4789.8</v>
      </c>
      <c r="L63" s="67">
        <f t="shared" si="5"/>
        <v>69503</v>
      </c>
      <c r="M63" s="65">
        <v>1500</v>
      </c>
      <c r="N63" s="69">
        <v>3369.6</v>
      </c>
      <c r="O63" s="69">
        <v>169792.50000000003</v>
      </c>
      <c r="P63" s="71">
        <v>19150.7</v>
      </c>
      <c r="Q63" s="73">
        <v>16218.7</v>
      </c>
      <c r="R63" s="66">
        <v>19934.2</v>
      </c>
      <c r="S63" s="73">
        <f t="shared" si="3"/>
        <v>439506.20000000007</v>
      </c>
      <c r="V63" s="72">
        <f t="shared" si="6"/>
        <v>439506.20000000007</v>
      </c>
    </row>
    <row r="64" spans="1:22" s="76" customFormat="1" ht="15" customHeight="1" hidden="1">
      <c r="A64" s="75" t="s">
        <v>98</v>
      </c>
      <c r="B64" s="73">
        <v>124230.9</v>
      </c>
      <c r="C64" s="73">
        <v>24965.9</v>
      </c>
      <c r="D64" s="71">
        <v>1127</v>
      </c>
      <c r="E64" s="77" t="s">
        <v>41</v>
      </c>
      <c r="F64" s="71">
        <v>4527.2</v>
      </c>
      <c r="G64" s="70">
        <v>56.9</v>
      </c>
      <c r="H64" s="64">
        <v>1675.3</v>
      </c>
      <c r="I64" s="71">
        <f t="shared" si="4"/>
        <v>156583.19999999998</v>
      </c>
      <c r="J64" s="71">
        <v>87124.79999999999</v>
      </c>
      <c r="K64" s="71">
        <v>6683.6</v>
      </c>
      <c r="L64" s="67">
        <f t="shared" si="5"/>
        <v>93808.4</v>
      </c>
      <c r="M64" s="71">
        <v>12000</v>
      </c>
      <c r="N64" s="73">
        <v>5225.7</v>
      </c>
      <c r="O64" s="73">
        <v>175397.7</v>
      </c>
      <c r="P64" s="71">
        <v>22381.3</v>
      </c>
      <c r="Q64" s="73">
        <v>14196.7</v>
      </c>
      <c r="R64" s="68">
        <v>34017.399999999994</v>
      </c>
      <c r="S64" s="73">
        <f t="shared" si="3"/>
        <v>513610.4</v>
      </c>
      <c r="T64" s="72"/>
      <c r="U64" s="72"/>
      <c r="V64" s="72">
        <f t="shared" si="6"/>
        <v>513610.4</v>
      </c>
    </row>
    <row r="65" spans="1:22" s="76" customFormat="1" ht="15" customHeight="1" hidden="1">
      <c r="A65" s="75"/>
      <c r="B65" s="73"/>
      <c r="C65" s="73"/>
      <c r="D65" s="71"/>
      <c r="E65" s="77"/>
      <c r="F65" s="71"/>
      <c r="G65" s="70"/>
      <c r="H65" s="64"/>
      <c r="I65" s="71"/>
      <c r="J65" s="71"/>
      <c r="K65" s="71"/>
      <c r="L65" s="67"/>
      <c r="M65" s="71"/>
      <c r="N65" s="73"/>
      <c r="O65" s="73"/>
      <c r="P65" s="71"/>
      <c r="Q65" s="73"/>
      <c r="R65" s="68"/>
      <c r="S65" s="73"/>
      <c r="T65" s="72"/>
      <c r="U65" s="72"/>
      <c r="V65" s="72"/>
    </row>
    <row r="66" spans="1:19" s="72" customFormat="1" ht="15" customHeight="1" hidden="1">
      <c r="A66" s="81" t="s">
        <v>45</v>
      </c>
      <c r="B66" s="69">
        <v>114706.9</v>
      </c>
      <c r="C66" s="69">
        <v>31192.800000000003</v>
      </c>
      <c r="D66" s="65">
        <v>817.6</v>
      </c>
      <c r="E66" s="77" t="s">
        <v>41</v>
      </c>
      <c r="F66" s="65">
        <v>1689.4999999999998</v>
      </c>
      <c r="G66" s="70">
        <v>89.3</v>
      </c>
      <c r="H66" s="64">
        <v>1627.8</v>
      </c>
      <c r="I66" s="71">
        <f t="shared" si="4"/>
        <v>150123.9</v>
      </c>
      <c r="J66" s="70">
        <v>70428.59999999999</v>
      </c>
      <c r="K66" s="65">
        <v>5730.099999999999</v>
      </c>
      <c r="L66" s="67">
        <f t="shared" si="5"/>
        <v>76158.7</v>
      </c>
      <c r="M66" s="65">
        <v>15000</v>
      </c>
      <c r="N66" s="69">
        <v>5513.8</v>
      </c>
      <c r="O66" s="69">
        <v>170683.4</v>
      </c>
      <c r="P66" s="71">
        <v>19150.7</v>
      </c>
      <c r="Q66" s="73">
        <v>8368.800000000001</v>
      </c>
      <c r="R66" s="66">
        <v>24338.8</v>
      </c>
      <c r="S66" s="73">
        <f aca="true" t="shared" si="7" ref="S66:S77">SUM(I66,L66:O66,R66,P66,Q66)</f>
        <v>469338.0999999999</v>
      </c>
    </row>
    <row r="67" spans="1:19" s="72" customFormat="1" ht="15" customHeight="1" hidden="1">
      <c r="A67" s="81" t="s">
        <v>65</v>
      </c>
      <c r="B67" s="69">
        <v>113068.7</v>
      </c>
      <c r="C67" s="69">
        <v>27634.1</v>
      </c>
      <c r="D67" s="65">
        <v>704.0000000000001</v>
      </c>
      <c r="E67" s="77" t="s">
        <v>41</v>
      </c>
      <c r="F67" s="65">
        <v>1532.168</v>
      </c>
      <c r="G67" s="70">
        <v>93.5</v>
      </c>
      <c r="H67" s="64">
        <v>1771.6</v>
      </c>
      <c r="I67" s="71">
        <f t="shared" si="4"/>
        <v>144804.068</v>
      </c>
      <c r="J67" s="70">
        <v>65480.932</v>
      </c>
      <c r="K67" s="65">
        <v>7613.999999999998</v>
      </c>
      <c r="L67" s="67">
        <f t="shared" si="5"/>
        <v>73094.932</v>
      </c>
      <c r="M67" s="65">
        <v>10000</v>
      </c>
      <c r="N67" s="69">
        <v>6639.8</v>
      </c>
      <c r="O67" s="69">
        <v>178338.8</v>
      </c>
      <c r="P67" s="71">
        <v>19150.7</v>
      </c>
      <c r="Q67" s="73">
        <v>10933.3</v>
      </c>
      <c r="R67" s="66">
        <v>24371.899999999998</v>
      </c>
      <c r="S67" s="73">
        <f t="shared" si="7"/>
        <v>467333.5</v>
      </c>
    </row>
    <row r="68" spans="1:19" s="72" customFormat="1" ht="15" customHeight="1" hidden="1">
      <c r="A68" s="81" t="s">
        <v>46</v>
      </c>
      <c r="B68" s="69">
        <v>112651.3</v>
      </c>
      <c r="C68" s="69">
        <v>22247.699999999997</v>
      </c>
      <c r="D68" s="65">
        <v>482.70000000000005</v>
      </c>
      <c r="E68" s="77" t="s">
        <v>41</v>
      </c>
      <c r="F68" s="65">
        <v>1866.9</v>
      </c>
      <c r="G68" s="70">
        <v>232.7</v>
      </c>
      <c r="H68" s="64">
        <v>1526.3</v>
      </c>
      <c r="I68" s="71">
        <f t="shared" si="4"/>
        <v>139007.6</v>
      </c>
      <c r="J68" s="70">
        <v>66205.8</v>
      </c>
      <c r="K68" s="65">
        <v>4506.1</v>
      </c>
      <c r="L68" s="67">
        <f t="shared" si="5"/>
        <v>70711.90000000001</v>
      </c>
      <c r="M68" s="65">
        <v>8300</v>
      </c>
      <c r="N68" s="69">
        <v>5647.2</v>
      </c>
      <c r="O68" s="69">
        <v>180864.6</v>
      </c>
      <c r="P68" s="71">
        <v>22381.3</v>
      </c>
      <c r="Q68" s="73">
        <v>15778.5</v>
      </c>
      <c r="R68" s="66">
        <v>14585.699999999993</v>
      </c>
      <c r="S68" s="73">
        <f t="shared" si="7"/>
        <v>457276.80000000005</v>
      </c>
    </row>
    <row r="69" spans="1:19" s="72" customFormat="1" ht="15" customHeight="1" hidden="1">
      <c r="A69" s="81" t="s">
        <v>67</v>
      </c>
      <c r="B69" s="69">
        <v>115183.7</v>
      </c>
      <c r="C69" s="69">
        <v>23019</v>
      </c>
      <c r="D69" s="65">
        <v>472.70000000000005</v>
      </c>
      <c r="E69" s="77" t="s">
        <v>41</v>
      </c>
      <c r="F69" s="65">
        <v>2219.5</v>
      </c>
      <c r="G69" s="70">
        <v>59.6</v>
      </c>
      <c r="H69" s="64">
        <v>1285.2</v>
      </c>
      <c r="I69" s="71">
        <f t="shared" si="4"/>
        <v>142239.70000000004</v>
      </c>
      <c r="J69" s="70">
        <v>60352.2</v>
      </c>
      <c r="K69" s="65">
        <v>5702.100000000002</v>
      </c>
      <c r="L69" s="67">
        <f t="shared" si="5"/>
        <v>66054.3</v>
      </c>
      <c r="M69" s="65">
        <v>2300</v>
      </c>
      <c r="N69" s="69">
        <v>5663.5</v>
      </c>
      <c r="O69" s="69">
        <v>181050.30000000002</v>
      </c>
      <c r="P69" s="71">
        <v>32819.4</v>
      </c>
      <c r="Q69" s="73">
        <v>40</v>
      </c>
      <c r="R69" s="66">
        <v>15296.5</v>
      </c>
      <c r="S69" s="73">
        <f t="shared" si="7"/>
        <v>445463.70000000007</v>
      </c>
    </row>
    <row r="70" spans="1:19" s="72" customFormat="1" ht="15" customHeight="1" hidden="1">
      <c r="A70" s="81" t="s">
        <v>68</v>
      </c>
      <c r="B70" s="69">
        <v>112468.1</v>
      </c>
      <c r="C70" s="69">
        <v>30605.6</v>
      </c>
      <c r="D70" s="65">
        <v>318.79999999999995</v>
      </c>
      <c r="E70" s="77" t="s">
        <v>41</v>
      </c>
      <c r="F70" s="65">
        <v>1111</v>
      </c>
      <c r="G70" s="70">
        <v>43</v>
      </c>
      <c r="H70" s="64">
        <v>1319.9</v>
      </c>
      <c r="I70" s="71">
        <f t="shared" si="4"/>
        <v>145866.4</v>
      </c>
      <c r="J70" s="70">
        <v>88451.40000000001</v>
      </c>
      <c r="K70" s="65">
        <v>5416.3</v>
      </c>
      <c r="L70" s="67">
        <f t="shared" si="5"/>
        <v>93867.70000000001</v>
      </c>
      <c r="M70" s="77" t="s">
        <v>41</v>
      </c>
      <c r="N70" s="69">
        <v>4707.2</v>
      </c>
      <c r="O70" s="69">
        <v>126775.29999999999</v>
      </c>
      <c r="P70" s="71">
        <v>32819.4</v>
      </c>
      <c r="Q70" s="73">
        <v>1453.3</v>
      </c>
      <c r="R70" s="66">
        <v>49502.30000000001</v>
      </c>
      <c r="S70" s="73">
        <f t="shared" si="7"/>
        <v>454991.6</v>
      </c>
    </row>
    <row r="71" spans="1:19" s="72" customFormat="1" ht="15" customHeight="1" hidden="1">
      <c r="A71" s="81" t="s">
        <v>69</v>
      </c>
      <c r="B71" s="69">
        <v>120665.4</v>
      </c>
      <c r="C71" s="69">
        <v>39647.5</v>
      </c>
      <c r="D71" s="65">
        <v>835.8</v>
      </c>
      <c r="E71" s="77" t="s">
        <v>41</v>
      </c>
      <c r="F71" s="65">
        <v>2826.4</v>
      </c>
      <c r="G71" s="70">
        <v>55.3</v>
      </c>
      <c r="H71" s="64">
        <v>1354.9</v>
      </c>
      <c r="I71" s="71">
        <f t="shared" si="4"/>
        <v>165385.29999999996</v>
      </c>
      <c r="J71" s="70">
        <v>86975.9</v>
      </c>
      <c r="K71" s="65">
        <v>6268.8</v>
      </c>
      <c r="L71" s="67">
        <f t="shared" si="5"/>
        <v>93244.7</v>
      </c>
      <c r="M71" s="77" t="s">
        <v>41</v>
      </c>
      <c r="N71" s="69">
        <v>3207.8999999999996</v>
      </c>
      <c r="O71" s="69">
        <v>127669</v>
      </c>
      <c r="P71" s="71">
        <v>32819.4</v>
      </c>
      <c r="Q71" s="73">
        <v>2077.7</v>
      </c>
      <c r="R71" s="66">
        <v>47419.4</v>
      </c>
      <c r="S71" s="73">
        <f t="shared" si="7"/>
        <v>471823.39999999997</v>
      </c>
    </row>
    <row r="72" spans="1:19" s="72" customFormat="1" ht="15" customHeight="1" hidden="1">
      <c r="A72" s="81" t="s">
        <v>70</v>
      </c>
      <c r="B72" s="69">
        <v>124675.4</v>
      </c>
      <c r="C72" s="69">
        <v>21455.5</v>
      </c>
      <c r="D72" s="65">
        <v>220.4</v>
      </c>
      <c r="E72" s="77" t="s">
        <v>41</v>
      </c>
      <c r="F72" s="65">
        <v>1534.6</v>
      </c>
      <c r="G72" s="70">
        <v>42.1</v>
      </c>
      <c r="H72" s="64">
        <v>1409.2</v>
      </c>
      <c r="I72" s="71">
        <f t="shared" si="4"/>
        <v>149337.2</v>
      </c>
      <c r="J72" s="70">
        <v>78491</v>
      </c>
      <c r="K72" s="65">
        <v>5698</v>
      </c>
      <c r="L72" s="67">
        <f t="shared" si="5"/>
        <v>84189</v>
      </c>
      <c r="M72" s="65">
        <v>3000</v>
      </c>
      <c r="N72" s="69">
        <v>2971.7</v>
      </c>
      <c r="O72" s="69">
        <v>140035.5</v>
      </c>
      <c r="P72" s="71">
        <v>32819.4</v>
      </c>
      <c r="Q72" s="73">
        <v>2132.5</v>
      </c>
      <c r="R72" s="66">
        <v>47545.49999999999</v>
      </c>
      <c r="S72" s="73">
        <f t="shared" si="7"/>
        <v>462030.80000000005</v>
      </c>
    </row>
    <row r="73" spans="1:19" s="72" customFormat="1" ht="15" customHeight="1" hidden="1">
      <c r="A73" s="81" t="s">
        <v>71</v>
      </c>
      <c r="B73" s="69">
        <v>124765.5</v>
      </c>
      <c r="C73" s="69">
        <v>26062.2</v>
      </c>
      <c r="D73" s="65">
        <v>303.80000000000007</v>
      </c>
      <c r="E73" s="77" t="s">
        <v>41</v>
      </c>
      <c r="F73" s="65">
        <v>1731.2</v>
      </c>
      <c r="G73" s="70">
        <v>64.5</v>
      </c>
      <c r="H73" s="64">
        <v>1217</v>
      </c>
      <c r="I73" s="71">
        <f t="shared" si="4"/>
        <v>154144.2</v>
      </c>
      <c r="J73" s="70">
        <v>73849.1</v>
      </c>
      <c r="K73" s="65">
        <v>4379.299999999999</v>
      </c>
      <c r="L73" s="67">
        <f t="shared" si="5"/>
        <v>78228.40000000001</v>
      </c>
      <c r="M73" s="77" t="s">
        <v>41</v>
      </c>
      <c r="N73" s="69">
        <v>2286.5</v>
      </c>
      <c r="O73" s="69">
        <v>250916.19999999998</v>
      </c>
      <c r="P73" s="71">
        <v>32819.4</v>
      </c>
      <c r="Q73" s="73">
        <v>3064.7</v>
      </c>
      <c r="R73" s="66">
        <v>45279.6</v>
      </c>
      <c r="S73" s="73">
        <f t="shared" si="7"/>
        <v>566739</v>
      </c>
    </row>
    <row r="74" spans="1:19" s="72" customFormat="1" ht="15" customHeight="1" hidden="1">
      <c r="A74" s="81" t="s">
        <v>72</v>
      </c>
      <c r="B74" s="69">
        <v>117851.2</v>
      </c>
      <c r="C74" s="69">
        <v>36139</v>
      </c>
      <c r="D74" s="65">
        <v>818.5000000000001</v>
      </c>
      <c r="E74" s="77" t="s">
        <v>41</v>
      </c>
      <c r="F74" s="65">
        <v>2040.1</v>
      </c>
      <c r="G74" s="70">
        <v>48.6</v>
      </c>
      <c r="H74" s="64">
        <v>1353.5</v>
      </c>
      <c r="I74" s="71">
        <f t="shared" si="4"/>
        <v>158250.90000000002</v>
      </c>
      <c r="J74" s="70">
        <v>67984.1</v>
      </c>
      <c r="K74" s="65">
        <v>6049.199999999999</v>
      </c>
      <c r="L74" s="67">
        <f t="shared" si="5"/>
        <v>74033.3</v>
      </c>
      <c r="M74" s="77" t="s">
        <v>41</v>
      </c>
      <c r="N74" s="69">
        <v>2277.7</v>
      </c>
      <c r="O74" s="69">
        <v>259318.9</v>
      </c>
      <c r="P74" s="71">
        <v>32819.4</v>
      </c>
      <c r="Q74" s="73">
        <v>4261.9</v>
      </c>
      <c r="R74" s="66">
        <v>44172.6</v>
      </c>
      <c r="S74" s="73">
        <f t="shared" si="7"/>
        <v>575134.7000000001</v>
      </c>
    </row>
    <row r="75" spans="1:19" s="72" customFormat="1" ht="15" customHeight="1" hidden="1">
      <c r="A75" s="81" t="s">
        <v>73</v>
      </c>
      <c r="B75" s="69">
        <v>119216.8</v>
      </c>
      <c r="C75" s="69">
        <v>33282.8</v>
      </c>
      <c r="D75" s="65">
        <v>686.4000000000001</v>
      </c>
      <c r="E75" s="77" t="s">
        <v>41</v>
      </c>
      <c r="F75" s="65">
        <v>1721.9</v>
      </c>
      <c r="G75" s="70">
        <v>76.9</v>
      </c>
      <c r="H75" s="64">
        <v>1329.2</v>
      </c>
      <c r="I75" s="71">
        <f t="shared" si="4"/>
        <v>156314</v>
      </c>
      <c r="J75" s="70">
        <v>71060.9</v>
      </c>
      <c r="K75" s="65">
        <v>8175.0999999999985</v>
      </c>
      <c r="L75" s="67">
        <f t="shared" si="5"/>
        <v>79236</v>
      </c>
      <c r="M75" s="77" t="s">
        <v>41</v>
      </c>
      <c r="N75" s="69">
        <v>1249.4</v>
      </c>
      <c r="O75" s="69">
        <v>260952.5</v>
      </c>
      <c r="P75" s="71">
        <v>32819.4</v>
      </c>
      <c r="Q75" s="73">
        <v>5853.2</v>
      </c>
      <c r="R75" s="66">
        <v>46079.99999999999</v>
      </c>
      <c r="S75" s="73">
        <f t="shared" si="7"/>
        <v>582504.5</v>
      </c>
    </row>
    <row r="76" spans="1:19" s="72" customFormat="1" ht="15" customHeight="1" hidden="1">
      <c r="A76" s="81" t="s">
        <v>74</v>
      </c>
      <c r="B76" s="69">
        <v>117965.7</v>
      </c>
      <c r="C76" s="69">
        <v>37170.7</v>
      </c>
      <c r="D76" s="65">
        <v>941.0999999999999</v>
      </c>
      <c r="E76" s="77" t="s">
        <v>41</v>
      </c>
      <c r="F76" s="65">
        <v>1724.1</v>
      </c>
      <c r="G76" s="70">
        <v>100.3</v>
      </c>
      <c r="H76" s="64">
        <v>1112.4</v>
      </c>
      <c r="I76" s="71">
        <f t="shared" si="4"/>
        <v>159014.3</v>
      </c>
      <c r="J76" s="70">
        <v>78929.4</v>
      </c>
      <c r="K76" s="65">
        <v>6026.000000000001</v>
      </c>
      <c r="L76" s="67">
        <f t="shared" si="5"/>
        <v>84955.4</v>
      </c>
      <c r="M76" s="65">
        <v>6000</v>
      </c>
      <c r="N76" s="69">
        <v>2394.7</v>
      </c>
      <c r="O76" s="69">
        <v>263875.60000000003</v>
      </c>
      <c r="P76" s="71">
        <v>32819.4</v>
      </c>
      <c r="Q76" s="73">
        <v>5428</v>
      </c>
      <c r="R76" s="66">
        <v>48552.299999999996</v>
      </c>
      <c r="S76" s="73">
        <f t="shared" si="7"/>
        <v>603039.7000000001</v>
      </c>
    </row>
    <row r="77" spans="1:19" s="72" customFormat="1" ht="15" customHeight="1" hidden="1">
      <c r="A77" s="81" t="s">
        <v>75</v>
      </c>
      <c r="B77" s="69">
        <v>136206.2</v>
      </c>
      <c r="C77" s="69">
        <v>53891.1</v>
      </c>
      <c r="D77" s="65">
        <v>1014.1</v>
      </c>
      <c r="E77" s="77" t="s">
        <v>41</v>
      </c>
      <c r="F77" s="65">
        <v>6100.8</v>
      </c>
      <c r="G77" s="70">
        <v>29.2</v>
      </c>
      <c r="H77" s="64">
        <v>901.8</v>
      </c>
      <c r="I77" s="71">
        <f t="shared" si="4"/>
        <v>198143.2</v>
      </c>
      <c r="J77" s="70">
        <v>76348</v>
      </c>
      <c r="K77" s="65">
        <v>6233.9</v>
      </c>
      <c r="L77" s="67">
        <f t="shared" si="5"/>
        <v>82581.9</v>
      </c>
      <c r="M77" s="65">
        <v>10000</v>
      </c>
      <c r="N77" s="69">
        <v>3627.5</v>
      </c>
      <c r="O77" s="69">
        <v>255985.09999999998</v>
      </c>
      <c r="P77" s="71">
        <v>32780.3</v>
      </c>
      <c r="Q77" s="73">
        <v>4383.1</v>
      </c>
      <c r="R77" s="66">
        <v>72473.79999999999</v>
      </c>
      <c r="S77" s="73">
        <f t="shared" si="7"/>
        <v>659974.9</v>
      </c>
    </row>
    <row r="78" spans="1:19" s="72" customFormat="1" ht="15" customHeight="1" hidden="1">
      <c r="A78" s="81"/>
      <c r="B78" s="69"/>
      <c r="C78" s="69"/>
      <c r="D78" s="65"/>
      <c r="E78" s="77"/>
      <c r="F78" s="65"/>
      <c r="G78" s="70"/>
      <c r="H78" s="64"/>
      <c r="I78" s="71"/>
      <c r="J78" s="70"/>
      <c r="K78" s="65"/>
      <c r="L78" s="67"/>
      <c r="M78" s="65"/>
      <c r="N78" s="69"/>
      <c r="O78" s="69"/>
      <c r="P78" s="71"/>
      <c r="Q78" s="73"/>
      <c r="R78" s="66"/>
      <c r="S78" s="73"/>
    </row>
    <row r="79" spans="1:19" s="72" customFormat="1" ht="15" customHeight="1" hidden="1">
      <c r="A79" s="81" t="s">
        <v>49</v>
      </c>
      <c r="B79" s="69">
        <v>124469.1</v>
      </c>
      <c r="C79" s="69">
        <v>44898.4</v>
      </c>
      <c r="D79" s="65">
        <v>721.3</v>
      </c>
      <c r="E79" s="77" t="s">
        <v>41</v>
      </c>
      <c r="F79" s="65">
        <v>3451.6000000000004</v>
      </c>
      <c r="G79" s="70">
        <v>35</v>
      </c>
      <c r="H79" s="64">
        <v>778.3</v>
      </c>
      <c r="I79" s="71">
        <f t="shared" si="4"/>
        <v>174353.69999999998</v>
      </c>
      <c r="J79" s="70">
        <v>80851.6</v>
      </c>
      <c r="K79" s="65">
        <v>5052.4</v>
      </c>
      <c r="L79" s="67">
        <f t="shared" si="5"/>
        <v>85904</v>
      </c>
      <c r="M79" s="65">
        <v>20000</v>
      </c>
      <c r="N79" s="69">
        <v>3848</v>
      </c>
      <c r="O79" s="69">
        <v>254946.7</v>
      </c>
      <c r="P79" s="71">
        <v>32780.3</v>
      </c>
      <c r="Q79" s="73">
        <v>2347</v>
      </c>
      <c r="R79" s="66">
        <v>46761.79999999999</v>
      </c>
      <c r="S79" s="73">
        <f aca="true" t="shared" si="8" ref="S79:S90">SUM(I79,L79:O79,R79,P79,Q79)</f>
        <v>620941.5</v>
      </c>
    </row>
    <row r="80" spans="1:19" s="72" customFormat="1" ht="15" customHeight="1" hidden="1">
      <c r="A80" s="81" t="s">
        <v>77</v>
      </c>
      <c r="B80" s="69">
        <v>125950.7</v>
      </c>
      <c r="C80" s="69">
        <v>41712.1</v>
      </c>
      <c r="D80" s="65">
        <v>1912.9999999999998</v>
      </c>
      <c r="E80" s="77" t="s">
        <v>41</v>
      </c>
      <c r="F80" s="65">
        <v>1645.8999999999999</v>
      </c>
      <c r="G80" s="70">
        <v>58.4</v>
      </c>
      <c r="H80" s="64">
        <v>1143.8</v>
      </c>
      <c r="I80" s="71">
        <f t="shared" si="4"/>
        <v>172423.89999999997</v>
      </c>
      <c r="J80" s="70">
        <v>89178.6</v>
      </c>
      <c r="K80" s="65">
        <v>6113.299999999999</v>
      </c>
      <c r="L80" s="67">
        <f t="shared" si="5"/>
        <v>95291.90000000001</v>
      </c>
      <c r="M80" s="65">
        <v>16000</v>
      </c>
      <c r="N80" s="69">
        <v>3891.9</v>
      </c>
      <c r="O80" s="69">
        <v>261782.6</v>
      </c>
      <c r="P80" s="71">
        <v>32780.3</v>
      </c>
      <c r="Q80" s="73">
        <v>3867.8</v>
      </c>
      <c r="R80" s="66">
        <v>48735.69999999998</v>
      </c>
      <c r="S80" s="73">
        <f t="shared" si="8"/>
        <v>634774.1000000001</v>
      </c>
    </row>
    <row r="81" spans="1:19" s="72" customFormat="1" ht="15" customHeight="1" hidden="1">
      <c r="A81" s="81" t="s">
        <v>51</v>
      </c>
      <c r="B81" s="69">
        <v>125349.6</v>
      </c>
      <c r="C81" s="69">
        <v>26586.199999999997</v>
      </c>
      <c r="D81" s="65">
        <v>707.1</v>
      </c>
      <c r="E81" s="77" t="s">
        <v>41</v>
      </c>
      <c r="F81" s="65">
        <v>2048.3</v>
      </c>
      <c r="G81" s="70">
        <v>77.4</v>
      </c>
      <c r="H81" s="64">
        <v>590.6</v>
      </c>
      <c r="I81" s="71">
        <f t="shared" si="4"/>
        <v>155359.19999999998</v>
      </c>
      <c r="J81" s="70">
        <v>79853.6</v>
      </c>
      <c r="K81" s="65">
        <v>5787.5</v>
      </c>
      <c r="L81" s="67">
        <f t="shared" si="5"/>
        <v>85641.1</v>
      </c>
      <c r="M81" s="65">
        <v>22100</v>
      </c>
      <c r="N81" s="69">
        <v>4455.2</v>
      </c>
      <c r="O81" s="69">
        <v>260330.80000000002</v>
      </c>
      <c r="P81" s="71">
        <v>32780.3</v>
      </c>
      <c r="Q81" s="73">
        <v>4744.6</v>
      </c>
      <c r="R81" s="66">
        <v>49469.79999999999</v>
      </c>
      <c r="S81" s="73">
        <f t="shared" si="8"/>
        <v>614881.0000000001</v>
      </c>
    </row>
    <row r="82" spans="1:19" s="72" customFormat="1" ht="15" customHeight="1" hidden="1">
      <c r="A82" s="81" t="s">
        <v>82</v>
      </c>
      <c r="B82" s="69">
        <v>127864.3</v>
      </c>
      <c r="C82" s="69">
        <v>42278.6</v>
      </c>
      <c r="D82" s="65">
        <v>2281</v>
      </c>
      <c r="E82" s="77" t="s">
        <v>41</v>
      </c>
      <c r="F82" s="65">
        <v>2970.8</v>
      </c>
      <c r="G82" s="70">
        <v>53</v>
      </c>
      <c r="H82" s="64">
        <v>722.2</v>
      </c>
      <c r="I82" s="71">
        <f t="shared" si="4"/>
        <v>176169.9</v>
      </c>
      <c r="J82" s="70">
        <v>65416.90000000001</v>
      </c>
      <c r="K82" s="65">
        <v>5949.600000000001</v>
      </c>
      <c r="L82" s="67">
        <f t="shared" si="5"/>
        <v>71366.50000000001</v>
      </c>
      <c r="M82" s="65">
        <v>10000</v>
      </c>
      <c r="N82" s="69">
        <v>3924.4</v>
      </c>
      <c r="O82" s="69">
        <v>257699.40000000002</v>
      </c>
      <c r="P82" s="71">
        <v>36102.4</v>
      </c>
      <c r="Q82" s="73">
        <v>1899.5</v>
      </c>
      <c r="R82" s="66">
        <v>46558.80000000001</v>
      </c>
      <c r="S82" s="73">
        <f t="shared" si="8"/>
        <v>603720.9000000001</v>
      </c>
    </row>
    <row r="83" spans="1:19" s="72" customFormat="1" ht="15" customHeight="1" hidden="1">
      <c r="A83" s="81" t="s">
        <v>83</v>
      </c>
      <c r="B83" s="69">
        <v>130114.6</v>
      </c>
      <c r="C83" s="69">
        <v>15889</v>
      </c>
      <c r="D83" s="65">
        <v>2142.3</v>
      </c>
      <c r="E83" s="77" t="s">
        <v>41</v>
      </c>
      <c r="F83" s="65">
        <v>3033.4</v>
      </c>
      <c r="G83" s="70">
        <v>40.6</v>
      </c>
      <c r="H83" s="64">
        <v>557.7</v>
      </c>
      <c r="I83" s="71">
        <f t="shared" si="4"/>
        <v>151777.6</v>
      </c>
      <c r="J83" s="70">
        <v>61739.899999999994</v>
      </c>
      <c r="K83" s="65">
        <v>4834.499999999999</v>
      </c>
      <c r="L83" s="67">
        <f t="shared" si="5"/>
        <v>66574.4</v>
      </c>
      <c r="M83" s="77" t="s">
        <v>41</v>
      </c>
      <c r="N83" s="69">
        <v>3999.5</v>
      </c>
      <c r="O83" s="69">
        <v>251894.59999999998</v>
      </c>
      <c r="P83" s="71">
        <v>36102.4</v>
      </c>
      <c r="Q83" s="73">
        <v>4185</v>
      </c>
      <c r="R83" s="66">
        <v>47977.99999999999</v>
      </c>
      <c r="S83" s="73">
        <f t="shared" si="8"/>
        <v>562511.5</v>
      </c>
    </row>
    <row r="84" spans="1:19" s="72" customFormat="1" ht="15" customHeight="1" hidden="1">
      <c r="A84" s="81" t="s">
        <v>84</v>
      </c>
      <c r="B84" s="69">
        <v>147647.5</v>
      </c>
      <c r="C84" s="69">
        <v>21971.5</v>
      </c>
      <c r="D84" s="65">
        <v>1973</v>
      </c>
      <c r="E84" s="65">
        <v>0.491</v>
      </c>
      <c r="F84" s="65">
        <v>2936</v>
      </c>
      <c r="G84" s="70">
        <v>23.6</v>
      </c>
      <c r="H84" s="64">
        <v>883.109</v>
      </c>
      <c r="I84" s="71">
        <f t="shared" si="4"/>
        <v>175435.2</v>
      </c>
      <c r="J84" s="70">
        <v>65131.899999999994</v>
      </c>
      <c r="K84" s="65">
        <v>6546.400000000001</v>
      </c>
      <c r="L84" s="67">
        <f t="shared" si="5"/>
        <v>71678.29999999999</v>
      </c>
      <c r="M84" s="77" t="s">
        <v>41</v>
      </c>
      <c r="N84" s="69">
        <v>5313.2</v>
      </c>
      <c r="O84" s="69">
        <v>252121.1</v>
      </c>
      <c r="P84" s="71">
        <v>36102.4</v>
      </c>
      <c r="Q84" s="73">
        <v>4811.1</v>
      </c>
      <c r="R84" s="66">
        <v>30907.6</v>
      </c>
      <c r="S84" s="73">
        <f t="shared" si="8"/>
        <v>576368.9</v>
      </c>
    </row>
    <row r="85" spans="1:19" s="72" customFormat="1" ht="15" customHeight="1" hidden="1">
      <c r="A85" s="81" t="s">
        <v>85</v>
      </c>
      <c r="B85" s="69">
        <v>163191.5</v>
      </c>
      <c r="C85" s="69">
        <v>23739.5</v>
      </c>
      <c r="D85" s="65">
        <v>1612.3</v>
      </c>
      <c r="E85" s="65">
        <v>50.491</v>
      </c>
      <c r="F85" s="65">
        <v>3851.2</v>
      </c>
      <c r="G85" s="70">
        <v>31</v>
      </c>
      <c r="H85" s="64">
        <v>432.509</v>
      </c>
      <c r="I85" s="71">
        <f t="shared" si="4"/>
        <v>192908.5</v>
      </c>
      <c r="J85" s="70">
        <v>52792.8</v>
      </c>
      <c r="K85" s="65">
        <v>7092</v>
      </c>
      <c r="L85" s="67">
        <f t="shared" si="5"/>
        <v>59884.8</v>
      </c>
      <c r="M85" s="77" t="s">
        <v>41</v>
      </c>
      <c r="N85" s="69">
        <v>6419.6</v>
      </c>
      <c r="O85" s="69">
        <v>260288</v>
      </c>
      <c r="P85" s="71">
        <v>36102.4</v>
      </c>
      <c r="Q85" s="73">
        <v>1652.7</v>
      </c>
      <c r="R85" s="66">
        <v>31394.299999999996</v>
      </c>
      <c r="S85" s="73">
        <f t="shared" si="8"/>
        <v>588650.3</v>
      </c>
    </row>
    <row r="86" spans="1:19" s="72" customFormat="1" ht="15" customHeight="1" hidden="1">
      <c r="A86" s="81" t="s">
        <v>86</v>
      </c>
      <c r="B86" s="69">
        <v>156374.2</v>
      </c>
      <c r="C86" s="69">
        <v>31485.7</v>
      </c>
      <c r="D86" s="65">
        <v>1069.3000000000002</v>
      </c>
      <c r="E86" s="65">
        <v>200.491</v>
      </c>
      <c r="F86" s="65">
        <v>3228.5799999999995</v>
      </c>
      <c r="G86" s="70">
        <v>38.2</v>
      </c>
      <c r="H86" s="64">
        <v>563.7090000000001</v>
      </c>
      <c r="I86" s="71">
        <f t="shared" si="4"/>
        <v>192960.18000000002</v>
      </c>
      <c r="J86" s="70">
        <v>65891.12</v>
      </c>
      <c r="K86" s="65">
        <v>5933.7</v>
      </c>
      <c r="L86" s="67">
        <f t="shared" si="5"/>
        <v>71824.81999999999</v>
      </c>
      <c r="M86" s="77" t="s">
        <v>41</v>
      </c>
      <c r="N86" s="69">
        <v>6302.1</v>
      </c>
      <c r="O86" s="69">
        <v>270617.1</v>
      </c>
      <c r="P86" s="71">
        <v>36102.4</v>
      </c>
      <c r="Q86" s="73">
        <v>3288.8</v>
      </c>
      <c r="R86" s="66">
        <v>17668.9</v>
      </c>
      <c r="S86" s="73">
        <f t="shared" si="8"/>
        <v>598764.3</v>
      </c>
    </row>
    <row r="87" spans="1:19" s="72" customFormat="1" ht="15" customHeight="1" hidden="1">
      <c r="A87" s="81" t="s">
        <v>87</v>
      </c>
      <c r="B87" s="69">
        <v>149317.2</v>
      </c>
      <c r="C87" s="69">
        <v>30479.4</v>
      </c>
      <c r="D87" s="65">
        <v>1908.1999999999998</v>
      </c>
      <c r="E87" s="65">
        <v>200.491</v>
      </c>
      <c r="F87" s="65">
        <v>1770.6000000000001</v>
      </c>
      <c r="G87" s="70">
        <v>19.4</v>
      </c>
      <c r="H87" s="64">
        <v>570.7090000000001</v>
      </c>
      <c r="I87" s="71">
        <f t="shared" si="4"/>
        <v>184266.00000000003</v>
      </c>
      <c r="J87" s="70">
        <v>57110.5</v>
      </c>
      <c r="K87" s="65">
        <v>5047.1</v>
      </c>
      <c r="L87" s="67">
        <f t="shared" si="5"/>
        <v>62157.6</v>
      </c>
      <c r="M87" s="65">
        <v>2000</v>
      </c>
      <c r="N87" s="69">
        <v>6642.8</v>
      </c>
      <c r="O87" s="69">
        <v>279209.8</v>
      </c>
      <c r="P87" s="71">
        <v>36102.4</v>
      </c>
      <c r="Q87" s="73">
        <v>2504.3</v>
      </c>
      <c r="R87" s="66">
        <v>18678</v>
      </c>
      <c r="S87" s="73">
        <f t="shared" si="8"/>
        <v>591560.9</v>
      </c>
    </row>
    <row r="88" spans="1:19" s="72" customFormat="1" ht="15" customHeight="1" hidden="1">
      <c r="A88" s="81" t="s">
        <v>88</v>
      </c>
      <c r="B88" s="69">
        <v>145288.6</v>
      </c>
      <c r="C88" s="69">
        <v>15265.400000000001</v>
      </c>
      <c r="D88" s="65">
        <v>2831.3</v>
      </c>
      <c r="E88" s="65">
        <v>0.491</v>
      </c>
      <c r="F88" s="65">
        <v>954.4999999999999</v>
      </c>
      <c r="G88" s="70">
        <v>16.5</v>
      </c>
      <c r="H88" s="64">
        <v>677.809</v>
      </c>
      <c r="I88" s="71">
        <f t="shared" si="4"/>
        <v>165034.6</v>
      </c>
      <c r="J88" s="70">
        <v>68118.2</v>
      </c>
      <c r="K88" s="65">
        <v>4622.1</v>
      </c>
      <c r="L88" s="67">
        <f t="shared" si="5"/>
        <v>72740.3</v>
      </c>
      <c r="M88" s="77" t="s">
        <v>41</v>
      </c>
      <c r="N88" s="69">
        <v>6102.1</v>
      </c>
      <c r="O88" s="69">
        <v>281295.6</v>
      </c>
      <c r="P88" s="71">
        <v>36102.4</v>
      </c>
      <c r="Q88" s="73">
        <v>1997.3</v>
      </c>
      <c r="R88" s="66">
        <v>19530.800000000003</v>
      </c>
      <c r="S88" s="73">
        <f t="shared" si="8"/>
        <v>582803.1000000001</v>
      </c>
    </row>
    <row r="89" spans="1:19" s="72" customFormat="1" ht="15" customHeight="1" hidden="1">
      <c r="A89" s="81" t="s">
        <v>89</v>
      </c>
      <c r="B89" s="69">
        <v>143026.9</v>
      </c>
      <c r="C89" s="69">
        <v>31831.5</v>
      </c>
      <c r="D89" s="65">
        <v>3638.7</v>
      </c>
      <c r="E89" s="65">
        <v>100.5</v>
      </c>
      <c r="F89" s="65">
        <v>1518.6</v>
      </c>
      <c r="G89" s="70">
        <v>22</v>
      </c>
      <c r="H89" s="64">
        <v>575.409</v>
      </c>
      <c r="I89" s="71">
        <f t="shared" si="4"/>
        <v>180713.60900000003</v>
      </c>
      <c r="J89" s="70">
        <v>62343.5</v>
      </c>
      <c r="K89" s="65">
        <v>4884.900000000001</v>
      </c>
      <c r="L89" s="67">
        <f t="shared" si="5"/>
        <v>67228.4</v>
      </c>
      <c r="M89" s="77" t="s">
        <v>41</v>
      </c>
      <c r="N89" s="69">
        <v>6389.5</v>
      </c>
      <c r="O89" s="69">
        <v>274549</v>
      </c>
      <c r="P89" s="71">
        <v>36102.4</v>
      </c>
      <c r="Q89" s="73">
        <v>5205.2</v>
      </c>
      <c r="R89" s="66">
        <v>19388.5</v>
      </c>
      <c r="S89" s="73">
        <f t="shared" si="8"/>
        <v>589576.609</v>
      </c>
    </row>
    <row r="90" spans="1:19" s="72" customFormat="1" ht="15" customHeight="1" hidden="1">
      <c r="A90" s="81" t="s">
        <v>90</v>
      </c>
      <c r="B90" s="69">
        <v>155835.2</v>
      </c>
      <c r="C90" s="69">
        <v>47450.5</v>
      </c>
      <c r="D90" s="65">
        <v>1428</v>
      </c>
      <c r="E90" s="65">
        <v>2738.884497</v>
      </c>
      <c r="F90" s="65">
        <v>3735.6</v>
      </c>
      <c r="G90" s="70">
        <v>28.6</v>
      </c>
      <c r="H90" s="64">
        <v>422.0155030000001</v>
      </c>
      <c r="I90" s="71">
        <f t="shared" si="4"/>
        <v>211638.80000000002</v>
      </c>
      <c r="J90" s="70">
        <v>95993</v>
      </c>
      <c r="K90" s="65">
        <v>6291.8</v>
      </c>
      <c r="L90" s="67">
        <f t="shared" si="5"/>
        <v>102284.8</v>
      </c>
      <c r="M90" s="65">
        <v>7000</v>
      </c>
      <c r="N90" s="69">
        <v>10515.6</v>
      </c>
      <c r="O90" s="69">
        <v>276658.60000000003</v>
      </c>
      <c r="P90" s="71">
        <v>36102</v>
      </c>
      <c r="Q90" s="73">
        <v>4813.2</v>
      </c>
      <c r="R90" s="66">
        <v>31416</v>
      </c>
      <c r="S90" s="73">
        <f t="shared" si="8"/>
        <v>680429</v>
      </c>
    </row>
    <row r="91" spans="1:19" s="72" customFormat="1" ht="15" customHeight="1" hidden="1">
      <c r="A91" s="81"/>
      <c r="B91" s="69"/>
      <c r="C91" s="69"/>
      <c r="D91" s="65"/>
      <c r="E91" s="65"/>
      <c r="F91" s="65"/>
      <c r="G91" s="70"/>
      <c r="H91" s="64"/>
      <c r="I91" s="71"/>
      <c r="J91" s="70"/>
      <c r="K91" s="65"/>
      <c r="L91" s="67"/>
      <c r="M91" s="65"/>
      <c r="N91" s="69"/>
      <c r="O91" s="69"/>
      <c r="P91" s="71"/>
      <c r="Q91" s="73"/>
      <c r="R91" s="66"/>
      <c r="S91" s="73"/>
    </row>
    <row r="92" spans="1:19" s="72" customFormat="1" ht="15" customHeight="1" hidden="1">
      <c r="A92" s="81" t="s">
        <v>64</v>
      </c>
      <c r="B92" s="69">
        <v>145536.5</v>
      </c>
      <c r="C92" s="69">
        <v>43841.1</v>
      </c>
      <c r="D92" s="65">
        <v>512.7</v>
      </c>
      <c r="E92" s="65">
        <v>135.918432</v>
      </c>
      <c r="F92" s="65">
        <v>1078.5</v>
      </c>
      <c r="G92" s="70">
        <v>56</v>
      </c>
      <c r="H92" s="64">
        <v>742.381568</v>
      </c>
      <c r="I92" s="71">
        <f t="shared" si="4"/>
        <v>191903.10000000003</v>
      </c>
      <c r="J92" s="70">
        <v>102498.7</v>
      </c>
      <c r="K92" s="65">
        <v>4329.5</v>
      </c>
      <c r="L92" s="67">
        <f t="shared" si="5"/>
        <v>106828.2</v>
      </c>
      <c r="M92" s="65">
        <v>8500</v>
      </c>
      <c r="N92" s="69">
        <v>9347.1</v>
      </c>
      <c r="O92" s="69">
        <v>281587.1</v>
      </c>
      <c r="P92" s="71">
        <v>36102</v>
      </c>
      <c r="Q92" s="73">
        <v>2869.6000000000004</v>
      </c>
      <c r="R92" s="66">
        <v>19640.699999999997</v>
      </c>
      <c r="S92" s="73">
        <f aca="true" t="shared" si="9" ref="S92:S105">SUM(I92,L92:O92,R92,P92,Q92)</f>
        <v>656777.7999999999</v>
      </c>
    </row>
    <row r="93" spans="1:19" s="72" customFormat="1" ht="15" customHeight="1" hidden="1">
      <c r="A93" s="81" t="s">
        <v>93</v>
      </c>
      <c r="B93" s="69">
        <v>144843.3</v>
      </c>
      <c r="C93" s="69">
        <v>28928.1</v>
      </c>
      <c r="D93" s="65">
        <v>1155.7999999999997</v>
      </c>
      <c r="E93" s="65">
        <v>543</v>
      </c>
      <c r="F93" s="65">
        <v>1490.1</v>
      </c>
      <c r="G93" s="70">
        <v>36.7</v>
      </c>
      <c r="H93" s="64">
        <v>731</v>
      </c>
      <c r="I93" s="71">
        <f t="shared" si="4"/>
        <v>177728</v>
      </c>
      <c r="J93" s="70">
        <v>143804.4</v>
      </c>
      <c r="K93" s="65">
        <v>6314.2</v>
      </c>
      <c r="L93" s="67">
        <f t="shared" si="5"/>
        <v>150118.6</v>
      </c>
      <c r="M93" s="65">
        <v>3000</v>
      </c>
      <c r="N93" s="69">
        <v>9342.1</v>
      </c>
      <c r="O93" s="69">
        <v>281664.4</v>
      </c>
      <c r="P93" s="71">
        <v>36102</v>
      </c>
      <c r="Q93" s="73">
        <v>5113.6</v>
      </c>
      <c r="R93" s="66">
        <v>20013.4</v>
      </c>
      <c r="S93" s="73">
        <f t="shared" si="9"/>
        <v>683082.1</v>
      </c>
    </row>
    <row r="94" spans="1:19" s="72" customFormat="1" ht="15" customHeight="1" hidden="1">
      <c r="A94" s="81" t="s">
        <v>66</v>
      </c>
      <c r="B94" s="69">
        <v>149827.1</v>
      </c>
      <c r="C94" s="69">
        <v>39367.200000000004</v>
      </c>
      <c r="D94" s="65">
        <v>611.6</v>
      </c>
      <c r="E94" s="65">
        <v>398.983712</v>
      </c>
      <c r="F94" s="65">
        <v>2831.0000000000005</v>
      </c>
      <c r="G94" s="70">
        <v>92.9</v>
      </c>
      <c r="H94" s="64">
        <v>1004.0162880000001</v>
      </c>
      <c r="I94" s="71">
        <f t="shared" si="4"/>
        <v>194132.80000000002</v>
      </c>
      <c r="J94" s="70">
        <v>106183</v>
      </c>
      <c r="K94" s="65">
        <v>3778.5</v>
      </c>
      <c r="L94" s="67">
        <f t="shared" si="5"/>
        <v>109961.5</v>
      </c>
      <c r="M94" s="65">
        <v>4500</v>
      </c>
      <c r="N94" s="69">
        <v>8476.4</v>
      </c>
      <c r="O94" s="69">
        <v>283289.5</v>
      </c>
      <c r="P94" s="71">
        <v>37182.4</v>
      </c>
      <c r="Q94" s="73">
        <v>5589.2</v>
      </c>
      <c r="R94" s="66">
        <v>17734.699999999997</v>
      </c>
      <c r="S94" s="73">
        <f t="shared" si="9"/>
        <v>660866.5</v>
      </c>
    </row>
    <row r="95" spans="1:19" s="72" customFormat="1" ht="15" customHeight="1" hidden="1">
      <c r="A95" s="81" t="s">
        <v>30</v>
      </c>
      <c r="B95" s="69">
        <v>154603.9</v>
      </c>
      <c r="C95" s="69">
        <v>34054.1</v>
      </c>
      <c r="D95" s="65">
        <v>591.6</v>
      </c>
      <c r="E95" s="65">
        <v>647.1</v>
      </c>
      <c r="F95" s="65">
        <v>6855.900000000001</v>
      </c>
      <c r="G95" s="70">
        <v>47.3</v>
      </c>
      <c r="H95" s="64">
        <v>872.3000000000001</v>
      </c>
      <c r="I95" s="71">
        <f t="shared" si="4"/>
        <v>197672.19999999998</v>
      </c>
      <c r="J95" s="70">
        <v>111507.6</v>
      </c>
      <c r="K95" s="65">
        <v>4071.3000000000006</v>
      </c>
      <c r="L95" s="67">
        <f t="shared" si="5"/>
        <v>115578.90000000001</v>
      </c>
      <c r="M95" s="77" t="s">
        <v>41</v>
      </c>
      <c r="N95" s="69">
        <v>8770.6</v>
      </c>
      <c r="O95" s="69">
        <v>304102.80000000005</v>
      </c>
      <c r="P95" s="71">
        <v>41805.5</v>
      </c>
      <c r="Q95" s="73">
        <v>2491.3</v>
      </c>
      <c r="R95" s="66">
        <v>17339.799999999996</v>
      </c>
      <c r="S95" s="73">
        <f t="shared" si="9"/>
        <v>687761.1000000001</v>
      </c>
    </row>
    <row r="96" spans="1:19" s="72" customFormat="1" ht="15" customHeight="1" hidden="1">
      <c r="A96" s="81" t="s">
        <v>31</v>
      </c>
      <c r="B96" s="69">
        <v>159225.3</v>
      </c>
      <c r="C96" s="69">
        <v>26890.299999999996</v>
      </c>
      <c r="D96" s="65">
        <v>968.9000000000001</v>
      </c>
      <c r="E96" s="65">
        <v>398.983712</v>
      </c>
      <c r="F96" s="65">
        <v>4582.9</v>
      </c>
      <c r="G96" s="70">
        <v>124.5</v>
      </c>
      <c r="H96" s="64">
        <v>765.016288</v>
      </c>
      <c r="I96" s="71">
        <f t="shared" si="4"/>
        <v>192955.89999999997</v>
      </c>
      <c r="J96" s="70">
        <v>125562.79999999999</v>
      </c>
      <c r="K96" s="65">
        <v>4198.6</v>
      </c>
      <c r="L96" s="67">
        <f t="shared" si="5"/>
        <v>129761.4</v>
      </c>
      <c r="M96" s="77" t="s">
        <v>41</v>
      </c>
      <c r="N96" s="69">
        <v>7873.8</v>
      </c>
      <c r="O96" s="69">
        <v>299175.7</v>
      </c>
      <c r="P96" s="71">
        <v>41805.5</v>
      </c>
      <c r="Q96" s="73">
        <v>3851.6</v>
      </c>
      <c r="R96" s="66">
        <v>18759.4</v>
      </c>
      <c r="S96" s="73">
        <f t="shared" si="9"/>
        <v>694183.2999999999</v>
      </c>
    </row>
    <row r="97" spans="1:19" s="72" customFormat="1" ht="15" customHeight="1" hidden="1">
      <c r="A97" s="81" t="s">
        <v>32</v>
      </c>
      <c r="B97" s="69">
        <v>172348.7</v>
      </c>
      <c r="C97" s="69">
        <v>27532.100000000002</v>
      </c>
      <c r="D97" s="65">
        <v>1167.8999999999999</v>
      </c>
      <c r="E97" s="65">
        <v>4490.491275</v>
      </c>
      <c r="F97" s="65">
        <v>4553.099999999999</v>
      </c>
      <c r="G97" s="70">
        <v>97</v>
      </c>
      <c r="H97" s="64">
        <v>801.5087249999997</v>
      </c>
      <c r="I97" s="71">
        <f t="shared" si="4"/>
        <v>210990.80000000002</v>
      </c>
      <c r="J97" s="70">
        <v>119726.19999999998</v>
      </c>
      <c r="K97" s="65">
        <v>6579.9</v>
      </c>
      <c r="L97" s="67">
        <f t="shared" si="5"/>
        <v>126306.09999999998</v>
      </c>
      <c r="M97" s="77" t="s">
        <v>41</v>
      </c>
      <c r="N97" s="69">
        <v>6058.6</v>
      </c>
      <c r="O97" s="69">
        <v>300858.9</v>
      </c>
      <c r="P97" s="71">
        <v>41803.1</v>
      </c>
      <c r="Q97" s="73">
        <v>4904.4</v>
      </c>
      <c r="R97" s="66">
        <v>17984.40000000001</v>
      </c>
      <c r="S97" s="73">
        <f t="shared" si="9"/>
        <v>708906.3</v>
      </c>
    </row>
    <row r="98" spans="1:19" s="72" customFormat="1" ht="15" customHeight="1" hidden="1">
      <c r="A98" s="81" t="s">
        <v>33</v>
      </c>
      <c r="B98" s="69">
        <v>186362</v>
      </c>
      <c r="C98" s="69">
        <v>25164.7</v>
      </c>
      <c r="D98" s="65">
        <v>913</v>
      </c>
      <c r="E98" s="65">
        <v>4881.352691</v>
      </c>
      <c r="F98" s="65">
        <v>7643.699999999998</v>
      </c>
      <c r="G98" s="70">
        <v>97.7</v>
      </c>
      <c r="H98" s="64">
        <v>562.9473090000001</v>
      </c>
      <c r="I98" s="71">
        <f t="shared" si="4"/>
        <v>225625.40000000005</v>
      </c>
      <c r="J98" s="70">
        <v>103965.19999999998</v>
      </c>
      <c r="K98" s="65">
        <v>4708.6</v>
      </c>
      <c r="L98" s="67">
        <f t="shared" si="5"/>
        <v>108673.79999999999</v>
      </c>
      <c r="M98" s="77" t="s">
        <v>41</v>
      </c>
      <c r="N98" s="69">
        <v>5680.5</v>
      </c>
      <c r="O98" s="69">
        <v>316978.4</v>
      </c>
      <c r="P98" s="71">
        <v>41803.1</v>
      </c>
      <c r="Q98" s="73">
        <v>7850.7</v>
      </c>
      <c r="R98" s="66">
        <v>18312.799999999996</v>
      </c>
      <c r="S98" s="73">
        <f t="shared" si="9"/>
        <v>724924.7000000001</v>
      </c>
    </row>
    <row r="99" spans="1:19" s="72" customFormat="1" ht="15" customHeight="1" hidden="1">
      <c r="A99" s="81" t="s">
        <v>34</v>
      </c>
      <c r="B99" s="69">
        <v>180063.1</v>
      </c>
      <c r="C99" s="69">
        <v>37662.4</v>
      </c>
      <c r="D99" s="65">
        <v>1275.4</v>
      </c>
      <c r="E99" s="65">
        <v>181.68308100000002</v>
      </c>
      <c r="F99" s="65">
        <v>1958.6</v>
      </c>
      <c r="G99" s="70">
        <v>83.5</v>
      </c>
      <c r="H99" s="64">
        <v>481.61691899999994</v>
      </c>
      <c r="I99" s="71">
        <f t="shared" si="4"/>
        <v>221706.3</v>
      </c>
      <c r="J99" s="70">
        <v>98316</v>
      </c>
      <c r="K99" s="65">
        <v>5378.4</v>
      </c>
      <c r="L99" s="67">
        <f t="shared" si="5"/>
        <v>103694.4</v>
      </c>
      <c r="M99" s="77" t="s">
        <v>41</v>
      </c>
      <c r="N99" s="69">
        <v>5244.3</v>
      </c>
      <c r="O99" s="69">
        <v>319000</v>
      </c>
      <c r="P99" s="71">
        <v>41803.5</v>
      </c>
      <c r="Q99" s="73">
        <v>6092.4</v>
      </c>
      <c r="R99" s="66">
        <v>16458.4</v>
      </c>
      <c r="S99" s="73">
        <f t="shared" si="9"/>
        <v>713999.3</v>
      </c>
    </row>
    <row r="100" spans="1:19" s="72" customFormat="1" ht="15" customHeight="1" hidden="1">
      <c r="A100" s="81" t="s">
        <v>35</v>
      </c>
      <c r="B100" s="69">
        <v>168466.4</v>
      </c>
      <c r="C100" s="69">
        <v>33244.3</v>
      </c>
      <c r="D100" s="65">
        <v>1493.8</v>
      </c>
      <c r="E100" s="65">
        <v>2484.4</v>
      </c>
      <c r="F100" s="65">
        <v>1412.9000000000003</v>
      </c>
      <c r="G100" s="70">
        <v>37.9</v>
      </c>
      <c r="H100" s="64">
        <v>500.5999999999999</v>
      </c>
      <c r="I100" s="71">
        <f aca="true" t="shared" si="10" ref="I100:I105">SUM(B100:H100)</f>
        <v>207640.3</v>
      </c>
      <c r="J100" s="70">
        <v>90818.79999999999</v>
      </c>
      <c r="K100" s="65">
        <v>5304.400000000001</v>
      </c>
      <c r="L100" s="67">
        <f aca="true" t="shared" si="11" ref="L100:L105">SUM(J100:K100)</f>
        <v>96123.19999999998</v>
      </c>
      <c r="M100" s="77" t="s">
        <v>41</v>
      </c>
      <c r="N100" s="69">
        <v>7790</v>
      </c>
      <c r="O100" s="69">
        <v>313648.9</v>
      </c>
      <c r="P100" s="71">
        <v>41803.5</v>
      </c>
      <c r="Q100" s="73">
        <v>6939</v>
      </c>
      <c r="R100" s="66">
        <v>19892.699999999997</v>
      </c>
      <c r="S100" s="73">
        <f t="shared" si="9"/>
        <v>693837.6</v>
      </c>
    </row>
    <row r="101" spans="1:19" s="72" customFormat="1" ht="15" customHeight="1" hidden="1">
      <c r="A101" s="81" t="s">
        <v>36</v>
      </c>
      <c r="B101" s="69">
        <v>163042.7</v>
      </c>
      <c r="C101" s="69">
        <v>23626.300000000003</v>
      </c>
      <c r="D101" s="65">
        <v>931.2</v>
      </c>
      <c r="E101" s="65">
        <v>2788.4236020000003</v>
      </c>
      <c r="F101" s="65">
        <v>2651.1000000000004</v>
      </c>
      <c r="G101" s="70">
        <v>25.6</v>
      </c>
      <c r="H101" s="64">
        <v>1386.4763980000002</v>
      </c>
      <c r="I101" s="71">
        <f t="shared" si="10"/>
        <v>194451.80000000002</v>
      </c>
      <c r="J101" s="70">
        <v>95535.9</v>
      </c>
      <c r="K101" s="65">
        <v>5123.5</v>
      </c>
      <c r="L101" s="67">
        <f t="shared" si="11"/>
        <v>100659.4</v>
      </c>
      <c r="M101" s="77" t="s">
        <v>41</v>
      </c>
      <c r="N101" s="69">
        <v>10104.9</v>
      </c>
      <c r="O101" s="69">
        <v>327004.7</v>
      </c>
      <c r="P101" s="71">
        <v>41803.5</v>
      </c>
      <c r="Q101" s="73">
        <v>7465</v>
      </c>
      <c r="R101" s="66">
        <v>19099.299999999996</v>
      </c>
      <c r="S101" s="73">
        <f t="shared" si="9"/>
        <v>700588.6000000001</v>
      </c>
    </row>
    <row r="102" spans="1:19" s="72" customFormat="1" ht="15" customHeight="1" hidden="1">
      <c r="A102" s="81" t="s">
        <v>37</v>
      </c>
      <c r="B102" s="69">
        <v>157871.5</v>
      </c>
      <c r="C102" s="69">
        <v>19725.6</v>
      </c>
      <c r="D102" s="65">
        <v>782.7</v>
      </c>
      <c r="E102" s="65">
        <v>2419.593216</v>
      </c>
      <c r="F102" s="65">
        <v>2706.9</v>
      </c>
      <c r="G102" s="70">
        <v>9.1</v>
      </c>
      <c r="H102" s="64">
        <v>435.90678400000024</v>
      </c>
      <c r="I102" s="71">
        <f t="shared" si="10"/>
        <v>183951.30000000002</v>
      </c>
      <c r="J102" s="70">
        <v>91764.9</v>
      </c>
      <c r="K102" s="65">
        <v>5566.699999999999</v>
      </c>
      <c r="L102" s="67">
        <f t="shared" si="11"/>
        <v>97331.59999999999</v>
      </c>
      <c r="M102" s="77" t="s">
        <v>41</v>
      </c>
      <c r="N102" s="69">
        <v>12542.7</v>
      </c>
      <c r="O102" s="69">
        <v>328313.3</v>
      </c>
      <c r="P102" s="71">
        <v>41803.5</v>
      </c>
      <c r="Q102" s="73">
        <v>8215.2</v>
      </c>
      <c r="R102" s="66">
        <v>16844.000000000007</v>
      </c>
      <c r="S102" s="73">
        <f t="shared" si="9"/>
        <v>689001.6</v>
      </c>
    </row>
    <row r="103" spans="1:19" s="72" customFormat="1" ht="15" customHeight="1" hidden="1">
      <c r="A103" s="81" t="s">
        <v>38</v>
      </c>
      <c r="B103" s="69">
        <v>170106</v>
      </c>
      <c r="C103" s="69">
        <v>34979.700000000004</v>
      </c>
      <c r="D103" s="65">
        <v>278</v>
      </c>
      <c r="E103" s="65">
        <v>500</v>
      </c>
      <c r="F103" s="65">
        <v>5041.499999999998</v>
      </c>
      <c r="G103" s="70">
        <v>23.6</v>
      </c>
      <c r="H103" s="64">
        <v>397.3</v>
      </c>
      <c r="I103" s="71">
        <f t="shared" si="10"/>
        <v>211326.1</v>
      </c>
      <c r="J103" s="70">
        <v>103201.79999999999</v>
      </c>
      <c r="K103" s="65">
        <v>7172.300000000001</v>
      </c>
      <c r="L103" s="67">
        <f t="shared" si="11"/>
        <v>110374.09999999999</v>
      </c>
      <c r="M103" s="77" t="s">
        <v>41</v>
      </c>
      <c r="N103" s="69">
        <v>12302.2</v>
      </c>
      <c r="O103" s="69">
        <v>330449.80000000005</v>
      </c>
      <c r="P103" s="71">
        <v>41797.4</v>
      </c>
      <c r="Q103" s="73">
        <v>9533.5</v>
      </c>
      <c r="R103" s="66">
        <v>56251.50000000001</v>
      </c>
      <c r="S103" s="73">
        <f t="shared" si="9"/>
        <v>772034.6000000001</v>
      </c>
    </row>
    <row r="104" spans="1:19" s="72" customFormat="1" ht="15" customHeight="1">
      <c r="A104" s="97" t="s">
        <v>123</v>
      </c>
      <c r="B104" s="79">
        <v>254499.1</v>
      </c>
      <c r="C104" s="79">
        <v>124775.9</v>
      </c>
      <c r="D104" s="70">
        <v>3523.6</v>
      </c>
      <c r="E104" s="70">
        <v>834</v>
      </c>
      <c r="F104" s="70">
        <v>4926.1</v>
      </c>
      <c r="G104" s="70">
        <v>3.6</v>
      </c>
      <c r="H104" s="64">
        <v>1138.3</v>
      </c>
      <c r="I104" s="70">
        <f t="shared" si="10"/>
        <v>389700.5999999999</v>
      </c>
      <c r="J104" s="70">
        <v>165324.8</v>
      </c>
      <c r="K104" s="70">
        <v>21183.6</v>
      </c>
      <c r="L104" s="70">
        <f t="shared" si="11"/>
        <v>186508.4</v>
      </c>
      <c r="M104" s="110" t="s">
        <v>41</v>
      </c>
      <c r="N104" s="79">
        <v>5791.3</v>
      </c>
      <c r="O104" s="79">
        <v>338994.5</v>
      </c>
      <c r="P104" s="70">
        <v>88281.7</v>
      </c>
      <c r="Q104" s="79">
        <v>-5027.8</v>
      </c>
      <c r="R104" s="64">
        <f>5752+8.1+1393.1</f>
        <v>7153.200000000001</v>
      </c>
      <c r="S104" s="79">
        <f t="shared" si="9"/>
        <v>1011401.8999999998</v>
      </c>
    </row>
    <row r="105" spans="1:19" s="72" customFormat="1" ht="15" customHeight="1">
      <c r="A105" s="97" t="s">
        <v>124</v>
      </c>
      <c r="B105" s="79">
        <v>267512.5</v>
      </c>
      <c r="C105" s="79">
        <v>134302.8</v>
      </c>
      <c r="D105" s="70">
        <v>3575.7</v>
      </c>
      <c r="E105" s="70">
        <v>5995.8</v>
      </c>
      <c r="F105" s="70">
        <v>6509.8</v>
      </c>
      <c r="G105" s="70">
        <v>7.7</v>
      </c>
      <c r="H105" s="64">
        <v>1319.7</v>
      </c>
      <c r="I105" s="70">
        <f t="shared" si="10"/>
        <v>419224</v>
      </c>
      <c r="J105" s="70">
        <v>229057.5</v>
      </c>
      <c r="K105" s="70">
        <v>14016.1</v>
      </c>
      <c r="L105" s="70">
        <f t="shared" si="11"/>
        <v>243073.6</v>
      </c>
      <c r="M105" s="110" t="s">
        <v>41</v>
      </c>
      <c r="N105" s="79">
        <v>12385</v>
      </c>
      <c r="O105" s="79">
        <v>328508.5</v>
      </c>
      <c r="P105" s="70">
        <v>88281.6</v>
      </c>
      <c r="Q105" s="79">
        <v>5702.3</v>
      </c>
      <c r="R105" s="64">
        <f>8800+6.7+1350.6</f>
        <v>10157.300000000001</v>
      </c>
      <c r="S105" s="79">
        <f t="shared" si="9"/>
        <v>1107332.3</v>
      </c>
    </row>
    <row r="106" spans="1:19" s="72" customFormat="1" ht="15" customHeight="1">
      <c r="A106" s="97"/>
      <c r="B106" s="79"/>
      <c r="C106" s="79"/>
      <c r="D106" s="70"/>
      <c r="E106" s="70"/>
      <c r="F106" s="70"/>
      <c r="G106" s="70"/>
      <c r="H106" s="64"/>
      <c r="I106" s="70"/>
      <c r="J106" s="70"/>
      <c r="K106" s="70"/>
      <c r="L106" s="118"/>
      <c r="M106" s="110"/>
      <c r="N106" s="79"/>
      <c r="O106" s="79"/>
      <c r="P106" s="70"/>
      <c r="Q106" s="79"/>
      <c r="R106" s="64"/>
      <c r="S106" s="79"/>
    </row>
    <row r="107" spans="1:19" s="72" customFormat="1" ht="15" customHeight="1">
      <c r="A107" s="97" t="s">
        <v>161</v>
      </c>
      <c r="B107" s="79">
        <v>267562.4</v>
      </c>
      <c r="C107" s="79">
        <v>167615</v>
      </c>
      <c r="D107" s="70">
        <v>2634.1</v>
      </c>
      <c r="E107" s="70">
        <v>14379.7</v>
      </c>
      <c r="F107" s="70">
        <v>12223.899999999998</v>
      </c>
      <c r="G107" s="70">
        <v>157.1</v>
      </c>
      <c r="H107" s="64">
        <v>21755.6</v>
      </c>
      <c r="I107" s="70">
        <v>486327.8</v>
      </c>
      <c r="J107" s="70">
        <v>178385.1</v>
      </c>
      <c r="K107" s="70">
        <v>18679.4</v>
      </c>
      <c r="L107" s="70">
        <v>197064.5</v>
      </c>
      <c r="M107" s="110" t="s">
        <v>41</v>
      </c>
      <c r="N107" s="79">
        <v>24941.399999999998</v>
      </c>
      <c r="O107" s="79">
        <v>327928.2</v>
      </c>
      <c r="P107" s="70">
        <v>88281.6</v>
      </c>
      <c r="Q107" s="79">
        <v>5190.1</v>
      </c>
      <c r="R107" s="64">
        <v>9476.3</v>
      </c>
      <c r="S107" s="79">
        <v>1139209.9000000004</v>
      </c>
    </row>
    <row r="108" spans="1:20" s="80" customFormat="1" ht="15" customHeight="1">
      <c r="A108" s="97" t="s">
        <v>170</v>
      </c>
      <c r="B108" s="79">
        <v>301775.5</v>
      </c>
      <c r="C108" s="79">
        <v>101969.20000000001</v>
      </c>
      <c r="D108" s="70">
        <v>2615.3999999999996</v>
      </c>
      <c r="E108" s="70">
        <v>12376</v>
      </c>
      <c r="F108" s="70">
        <v>17691.3</v>
      </c>
      <c r="G108" s="70">
        <v>11</v>
      </c>
      <c r="H108" s="64">
        <v>31187.100000000002</v>
      </c>
      <c r="I108" s="70">
        <v>467625.5</v>
      </c>
      <c r="J108" s="70">
        <v>164709.90000000002</v>
      </c>
      <c r="K108" s="70">
        <v>41120.100000000006</v>
      </c>
      <c r="L108" s="70">
        <v>205830.00000000003</v>
      </c>
      <c r="M108" s="110" t="s">
        <v>41</v>
      </c>
      <c r="N108" s="79">
        <v>28009</v>
      </c>
      <c r="O108" s="79">
        <v>341304.6</v>
      </c>
      <c r="P108" s="70">
        <v>90657.7</v>
      </c>
      <c r="Q108" s="79">
        <v>-342.1</v>
      </c>
      <c r="R108" s="64">
        <v>9538</v>
      </c>
      <c r="S108" s="79">
        <v>1142622.7</v>
      </c>
      <c r="T108" s="72"/>
    </row>
    <row r="109" spans="1:20" s="80" customFormat="1" ht="15" customHeight="1">
      <c r="A109" s="97" t="s">
        <v>176</v>
      </c>
      <c r="B109" s="79">
        <v>297683.1</v>
      </c>
      <c r="C109" s="79">
        <v>156387.69999999998</v>
      </c>
      <c r="D109" s="70">
        <v>2490.3999999999996</v>
      </c>
      <c r="E109" s="70">
        <v>9305.3</v>
      </c>
      <c r="F109" s="70">
        <v>25793.7</v>
      </c>
      <c r="G109" s="70">
        <v>6.3</v>
      </c>
      <c r="H109" s="64">
        <v>31699.3</v>
      </c>
      <c r="I109" s="70">
        <v>523365.79999999993</v>
      </c>
      <c r="J109" s="70">
        <v>180754.30000000002</v>
      </c>
      <c r="K109" s="70">
        <v>23565.600000000002</v>
      </c>
      <c r="L109" s="70">
        <v>204319.90000000002</v>
      </c>
      <c r="M109" s="110" t="s">
        <v>41</v>
      </c>
      <c r="N109" s="79">
        <v>32252.8</v>
      </c>
      <c r="O109" s="79">
        <v>332752.2</v>
      </c>
      <c r="P109" s="70"/>
      <c r="Q109" s="79">
        <v>-3366.1</v>
      </c>
      <c r="R109" s="64">
        <v>103431.5</v>
      </c>
      <c r="S109" s="79">
        <v>1192756.0999999999</v>
      </c>
      <c r="T109" s="72"/>
    </row>
    <row r="110" spans="1:20" s="80" customFormat="1" ht="15" customHeight="1">
      <c r="A110" s="97" t="s">
        <v>180</v>
      </c>
      <c r="B110" s="79">
        <v>308146.5</v>
      </c>
      <c r="C110" s="79">
        <v>221165.7</v>
      </c>
      <c r="D110" s="70">
        <v>2169.6</v>
      </c>
      <c r="E110" s="70">
        <v>2679.8</v>
      </c>
      <c r="F110" s="70">
        <v>18075.6</v>
      </c>
      <c r="G110" s="70">
        <v>20</v>
      </c>
      <c r="H110" s="64">
        <f>1575.7+28852.2</f>
        <v>30427.9</v>
      </c>
      <c r="I110" s="70">
        <f>SUM(B110:H110)</f>
        <v>582685.1</v>
      </c>
      <c r="J110" s="70">
        <v>227053.6</v>
      </c>
      <c r="K110" s="70">
        <v>29704.1</v>
      </c>
      <c r="L110" s="70">
        <f>SUM(J110:K110)</f>
        <v>256757.7</v>
      </c>
      <c r="M110" s="110" t="s">
        <v>41</v>
      </c>
      <c r="N110" s="79">
        <v>17665.9</v>
      </c>
      <c r="O110" s="79">
        <v>338555.6</v>
      </c>
      <c r="P110" s="70">
        <v>96208</v>
      </c>
      <c r="Q110" s="79">
        <v>6712.5</v>
      </c>
      <c r="R110" s="64">
        <f>9178.8+1534.8</f>
        <v>10713.599999999999</v>
      </c>
      <c r="S110" s="79">
        <f>SUM(I110,L110:O110,R110,P110,Q110)</f>
        <v>1309298.4000000001</v>
      </c>
      <c r="T110" s="72"/>
    </row>
    <row r="111" spans="1:20" s="80" customFormat="1" ht="15" customHeight="1">
      <c r="A111" s="97"/>
      <c r="B111" s="79"/>
      <c r="C111" s="79"/>
      <c r="D111" s="70"/>
      <c r="E111" s="70"/>
      <c r="F111" s="70"/>
      <c r="G111" s="70"/>
      <c r="H111" s="64"/>
      <c r="I111" s="70"/>
      <c r="J111" s="70"/>
      <c r="K111" s="70"/>
      <c r="L111" s="118"/>
      <c r="M111" s="110"/>
      <c r="N111" s="79"/>
      <c r="O111" s="79"/>
      <c r="P111" s="70"/>
      <c r="Q111" s="79"/>
      <c r="R111" s="64"/>
      <c r="S111" s="79"/>
      <c r="T111" s="72"/>
    </row>
    <row r="112" spans="1:19" s="72" customFormat="1" ht="15" customHeight="1" hidden="1">
      <c r="A112" s="81"/>
      <c r="B112" s="69"/>
      <c r="C112" s="69"/>
      <c r="D112" s="65"/>
      <c r="E112" s="65"/>
      <c r="F112" s="65"/>
      <c r="G112" s="70"/>
      <c r="H112" s="64"/>
      <c r="I112" s="71"/>
      <c r="J112" s="70"/>
      <c r="K112" s="65"/>
      <c r="L112" s="67"/>
      <c r="M112" s="77"/>
      <c r="N112" s="69"/>
      <c r="O112" s="69"/>
      <c r="P112" s="71"/>
      <c r="Q112" s="73"/>
      <c r="R112" s="66"/>
      <c r="S112" s="73"/>
    </row>
    <row r="113" spans="1:19" s="72" customFormat="1" ht="15" customHeight="1" hidden="1">
      <c r="A113" s="81" t="s">
        <v>76</v>
      </c>
      <c r="B113" s="73">
        <v>162981.5</v>
      </c>
      <c r="C113" s="69">
        <v>18924</v>
      </c>
      <c r="D113" s="65">
        <v>543.2</v>
      </c>
      <c r="E113" s="65">
        <v>2450.4688410000003</v>
      </c>
      <c r="F113" s="65">
        <v>2058.7000000000007</v>
      </c>
      <c r="G113" s="70">
        <v>44.3</v>
      </c>
      <c r="H113" s="64">
        <v>2583.631158999999</v>
      </c>
      <c r="I113" s="71">
        <f aca="true" t="shared" si="12" ref="I113:I124">SUM(B113:H113)</f>
        <v>189585.80000000002</v>
      </c>
      <c r="J113" s="70">
        <v>113451.1</v>
      </c>
      <c r="K113" s="65">
        <v>7384.9</v>
      </c>
      <c r="L113" s="67">
        <f aca="true" t="shared" si="13" ref="L113:L124">SUM(J113:K113)</f>
        <v>120836</v>
      </c>
      <c r="M113" s="77" t="s">
        <v>41</v>
      </c>
      <c r="N113" s="69">
        <v>12079.5</v>
      </c>
      <c r="O113" s="69">
        <v>347210.1</v>
      </c>
      <c r="P113" s="71">
        <v>41797.4</v>
      </c>
      <c r="Q113" s="73">
        <v>14366.7</v>
      </c>
      <c r="R113" s="66">
        <f>26575.1-1270.6</f>
        <v>25304.5</v>
      </c>
      <c r="S113" s="73">
        <f aca="true" t="shared" si="14" ref="S113:S124">SUM(I113,L113:O113,R113,P113,Q113)</f>
        <v>751180</v>
      </c>
    </row>
    <row r="114" spans="1:19" s="72" customFormat="1" ht="15" customHeight="1" hidden="1">
      <c r="A114" s="97" t="s">
        <v>108</v>
      </c>
      <c r="B114" s="73">
        <v>164099.6</v>
      </c>
      <c r="C114" s="69">
        <v>29919</v>
      </c>
      <c r="D114" s="65">
        <v>1147.6</v>
      </c>
      <c r="E114" s="65">
        <v>520.8620239999999</v>
      </c>
      <c r="F114" s="65">
        <v>3279.3</v>
      </c>
      <c r="G114" s="70">
        <v>44.3</v>
      </c>
      <c r="H114" s="64">
        <v>511.937976</v>
      </c>
      <c r="I114" s="71">
        <f t="shared" si="12"/>
        <v>199522.59999999998</v>
      </c>
      <c r="J114" s="70">
        <v>102989.9</v>
      </c>
      <c r="K114" s="65">
        <v>8622.2</v>
      </c>
      <c r="L114" s="67">
        <f t="shared" si="13"/>
        <v>111612.09999999999</v>
      </c>
      <c r="M114" s="77" t="s">
        <v>41</v>
      </c>
      <c r="N114" s="69">
        <v>7387.8</v>
      </c>
      <c r="O114" s="69">
        <v>354739</v>
      </c>
      <c r="P114" s="71">
        <v>41797.4</v>
      </c>
      <c r="Q114" s="73">
        <v>17381.7</v>
      </c>
      <c r="R114" s="66">
        <f>19027.3-334.8</f>
        <v>18692.5</v>
      </c>
      <c r="S114" s="73">
        <f t="shared" si="14"/>
        <v>751133.1</v>
      </c>
    </row>
    <row r="115" spans="1:19" s="72" customFormat="1" ht="15" customHeight="1" hidden="1">
      <c r="A115" s="97" t="s">
        <v>81</v>
      </c>
      <c r="B115" s="73">
        <v>165509.4</v>
      </c>
      <c r="C115" s="69">
        <v>23200.9</v>
      </c>
      <c r="D115" s="65">
        <v>480.40000000000003</v>
      </c>
      <c r="E115" s="65">
        <v>444.90000000000003</v>
      </c>
      <c r="F115" s="65">
        <v>1503.9000000000003</v>
      </c>
      <c r="G115" s="70">
        <v>18.3</v>
      </c>
      <c r="H115" s="64">
        <v>2529.8</v>
      </c>
      <c r="I115" s="71">
        <f t="shared" si="12"/>
        <v>193687.59999999995</v>
      </c>
      <c r="J115" s="70">
        <v>105105.4</v>
      </c>
      <c r="K115" s="65">
        <v>6749.7</v>
      </c>
      <c r="L115" s="67">
        <f t="shared" si="13"/>
        <v>111855.09999999999</v>
      </c>
      <c r="M115" s="77" t="s">
        <v>41</v>
      </c>
      <c r="N115" s="69">
        <v>6964.2</v>
      </c>
      <c r="O115" s="69">
        <v>351493.3</v>
      </c>
      <c r="P115" s="71">
        <v>41769.2</v>
      </c>
      <c r="Q115" s="73">
        <v>15829.2</v>
      </c>
      <c r="R115" s="66">
        <f>19102.9-318.8</f>
        <v>18784.100000000002</v>
      </c>
      <c r="S115" s="73">
        <f t="shared" si="14"/>
        <v>740382.6999999998</v>
      </c>
    </row>
    <row r="116" spans="1:19" s="72" customFormat="1" ht="15" customHeight="1" hidden="1">
      <c r="A116" s="97" t="s">
        <v>109</v>
      </c>
      <c r="B116" s="73">
        <v>168178.8</v>
      </c>
      <c r="C116" s="69">
        <v>28326</v>
      </c>
      <c r="D116" s="65">
        <v>525</v>
      </c>
      <c r="E116" s="65">
        <v>3254.9822990000002</v>
      </c>
      <c r="F116" s="65">
        <v>2712.4</v>
      </c>
      <c r="G116" s="70">
        <v>14.3</v>
      </c>
      <c r="H116" s="64">
        <v>569.2177009999996</v>
      </c>
      <c r="I116" s="71">
        <f t="shared" si="12"/>
        <v>203580.69999999995</v>
      </c>
      <c r="J116" s="70">
        <v>105819.7</v>
      </c>
      <c r="K116" s="65">
        <v>9511.3</v>
      </c>
      <c r="L116" s="67">
        <f t="shared" si="13"/>
        <v>115331</v>
      </c>
      <c r="M116" s="77" t="s">
        <v>41</v>
      </c>
      <c r="N116" s="69">
        <v>6330.1</v>
      </c>
      <c r="O116" s="69">
        <v>352132.9</v>
      </c>
      <c r="P116" s="71">
        <v>51954.3</v>
      </c>
      <c r="Q116" s="73">
        <v>6731</v>
      </c>
      <c r="R116" s="66">
        <f>18231.7-364.1</f>
        <v>17867.600000000002</v>
      </c>
      <c r="S116" s="73">
        <f t="shared" si="14"/>
        <v>753927.6</v>
      </c>
    </row>
    <row r="117" spans="1:19" s="72" customFormat="1" ht="15" customHeight="1" hidden="1">
      <c r="A117" s="97" t="s">
        <v>110</v>
      </c>
      <c r="B117" s="73">
        <v>167039</v>
      </c>
      <c r="C117" s="69">
        <v>27641.7</v>
      </c>
      <c r="D117" s="65">
        <v>365.90000000000003</v>
      </c>
      <c r="E117" s="65">
        <v>3068.665312</v>
      </c>
      <c r="F117" s="65">
        <v>6215.7</v>
      </c>
      <c r="G117" s="70">
        <v>64.6</v>
      </c>
      <c r="H117" s="64">
        <v>468.33468800000037</v>
      </c>
      <c r="I117" s="71">
        <f t="shared" si="12"/>
        <v>204863.90000000002</v>
      </c>
      <c r="J117" s="70">
        <v>95765.20000000001</v>
      </c>
      <c r="K117" s="65">
        <v>6688.8</v>
      </c>
      <c r="L117" s="67">
        <f t="shared" si="13"/>
        <v>102454.00000000001</v>
      </c>
      <c r="M117" s="77" t="s">
        <v>41</v>
      </c>
      <c r="N117" s="69">
        <v>10020</v>
      </c>
      <c r="O117" s="69">
        <v>346496.6</v>
      </c>
      <c r="P117" s="71">
        <v>51954.3</v>
      </c>
      <c r="Q117" s="73">
        <v>3877.5</v>
      </c>
      <c r="R117" s="66">
        <v>18956.600000000006</v>
      </c>
      <c r="S117" s="73">
        <f t="shared" si="14"/>
        <v>738622.9</v>
      </c>
    </row>
    <row r="118" spans="1:19" s="72" customFormat="1" ht="15" customHeight="1" hidden="1">
      <c r="A118" s="97" t="s">
        <v>111</v>
      </c>
      <c r="B118" s="73">
        <v>183642.4</v>
      </c>
      <c r="C118" s="69">
        <v>27850.7</v>
      </c>
      <c r="D118" s="65">
        <v>1363.6</v>
      </c>
      <c r="E118" s="65">
        <v>989.7638159999999</v>
      </c>
      <c r="F118" s="65">
        <v>3705.5</v>
      </c>
      <c r="G118" s="70">
        <v>10</v>
      </c>
      <c r="H118" s="64">
        <v>373.03618400000005</v>
      </c>
      <c r="I118" s="71">
        <f t="shared" si="12"/>
        <v>217935</v>
      </c>
      <c r="J118" s="70">
        <v>90865.90000000001</v>
      </c>
      <c r="K118" s="65">
        <v>6351</v>
      </c>
      <c r="L118" s="67">
        <f t="shared" si="13"/>
        <v>97216.90000000001</v>
      </c>
      <c r="M118" s="77" t="s">
        <v>41</v>
      </c>
      <c r="N118" s="69">
        <v>9147.7</v>
      </c>
      <c r="O118" s="69">
        <v>353109.6</v>
      </c>
      <c r="P118" s="71">
        <v>51954.3</v>
      </c>
      <c r="Q118" s="73">
        <v>10753</v>
      </c>
      <c r="R118" s="66">
        <v>19695.300000000003</v>
      </c>
      <c r="S118" s="73">
        <f t="shared" si="14"/>
        <v>759811.8</v>
      </c>
    </row>
    <row r="119" spans="1:19" s="72" customFormat="1" ht="15" customHeight="1" hidden="1">
      <c r="A119" s="97" t="s">
        <v>112</v>
      </c>
      <c r="B119" s="73">
        <v>191205.6</v>
      </c>
      <c r="C119" s="69">
        <v>34620.6</v>
      </c>
      <c r="D119" s="65">
        <v>1745.6999999999998</v>
      </c>
      <c r="E119" s="65">
        <v>1122.080544</v>
      </c>
      <c r="F119" s="65">
        <v>2790.1000000000004</v>
      </c>
      <c r="G119" s="70">
        <v>6.4</v>
      </c>
      <c r="H119" s="64">
        <v>449.81945599999995</v>
      </c>
      <c r="I119" s="71">
        <f t="shared" si="12"/>
        <v>231940.30000000002</v>
      </c>
      <c r="J119" s="70">
        <v>86849.59999999998</v>
      </c>
      <c r="K119" s="65">
        <v>8084.699999999999</v>
      </c>
      <c r="L119" s="67">
        <f t="shared" si="13"/>
        <v>94934.29999999997</v>
      </c>
      <c r="M119" s="77" t="s">
        <v>41</v>
      </c>
      <c r="N119" s="69">
        <v>8263.5</v>
      </c>
      <c r="O119" s="69">
        <v>361512.7</v>
      </c>
      <c r="P119" s="71">
        <v>51954.3</v>
      </c>
      <c r="Q119" s="73">
        <v>15983.9</v>
      </c>
      <c r="R119" s="66">
        <f>13724.2-11.6</f>
        <v>13712.6</v>
      </c>
      <c r="S119" s="73">
        <f t="shared" si="14"/>
        <v>778301.6000000001</v>
      </c>
    </row>
    <row r="120" spans="1:19" s="72" customFormat="1" ht="15" customHeight="1" hidden="1">
      <c r="A120" s="97" t="s">
        <v>113</v>
      </c>
      <c r="B120" s="73">
        <v>196035.5</v>
      </c>
      <c r="C120" s="69">
        <v>27931.4</v>
      </c>
      <c r="D120" s="65">
        <v>1485.5</v>
      </c>
      <c r="E120" s="65">
        <v>992.753568</v>
      </c>
      <c r="F120" s="65">
        <v>3236.7999999999997</v>
      </c>
      <c r="G120" s="70">
        <v>17.3</v>
      </c>
      <c r="H120" s="64">
        <v>298.046432</v>
      </c>
      <c r="I120" s="71">
        <f t="shared" si="12"/>
        <v>229997.29999999996</v>
      </c>
      <c r="J120" s="70">
        <v>81605.3</v>
      </c>
      <c r="K120" s="65">
        <v>10033.699999999999</v>
      </c>
      <c r="L120" s="67">
        <f t="shared" si="13"/>
        <v>91639</v>
      </c>
      <c r="M120" s="77" t="s">
        <v>41</v>
      </c>
      <c r="N120" s="69">
        <v>6689.599999999999</v>
      </c>
      <c r="O120" s="69">
        <v>373365.2</v>
      </c>
      <c r="P120" s="71">
        <v>51954.3</v>
      </c>
      <c r="Q120" s="73">
        <v>13988.6</v>
      </c>
      <c r="R120" s="66">
        <v>13920.899999999994</v>
      </c>
      <c r="S120" s="73">
        <f t="shared" si="14"/>
        <v>781554.8999999999</v>
      </c>
    </row>
    <row r="121" spans="1:19" s="72" customFormat="1" ht="15" customHeight="1" hidden="1">
      <c r="A121" s="97" t="s">
        <v>114</v>
      </c>
      <c r="B121" s="73">
        <v>184428.3</v>
      </c>
      <c r="C121" s="69">
        <v>32797.5</v>
      </c>
      <c r="D121" s="65">
        <v>1441.2</v>
      </c>
      <c r="E121" s="65">
        <v>289.7</v>
      </c>
      <c r="F121" s="65">
        <v>1869.8</v>
      </c>
      <c r="G121" s="70">
        <v>12.8</v>
      </c>
      <c r="H121" s="64">
        <v>334.9</v>
      </c>
      <c r="I121" s="71">
        <f t="shared" si="12"/>
        <v>221174.19999999998</v>
      </c>
      <c r="J121" s="70">
        <v>86434.9</v>
      </c>
      <c r="K121" s="65">
        <v>5154.5</v>
      </c>
      <c r="L121" s="67">
        <f t="shared" si="13"/>
        <v>91589.4</v>
      </c>
      <c r="M121" s="77" t="s">
        <v>41</v>
      </c>
      <c r="N121" s="69">
        <v>8142</v>
      </c>
      <c r="O121" s="69">
        <v>377411.10000000003</v>
      </c>
      <c r="P121" s="71">
        <v>51954.3</v>
      </c>
      <c r="Q121" s="73">
        <v>14018.3</v>
      </c>
      <c r="R121" s="66">
        <v>13744.900000000009</v>
      </c>
      <c r="S121" s="73">
        <f t="shared" si="14"/>
        <v>778034.2000000001</v>
      </c>
    </row>
    <row r="122" spans="1:19" s="72" customFormat="1" ht="15" customHeight="1" hidden="1">
      <c r="A122" s="97" t="s">
        <v>116</v>
      </c>
      <c r="B122" s="73">
        <v>180543.7</v>
      </c>
      <c r="C122" s="69">
        <v>38998.9</v>
      </c>
      <c r="D122" s="65">
        <v>2876.3</v>
      </c>
      <c r="E122" s="65">
        <v>4830.7</v>
      </c>
      <c r="F122" s="65">
        <v>6487.900000000001</v>
      </c>
      <c r="G122" s="70">
        <v>24.3</v>
      </c>
      <c r="H122" s="64">
        <v>419.2</v>
      </c>
      <c r="I122" s="71">
        <f t="shared" si="12"/>
        <v>234181</v>
      </c>
      <c r="J122" s="70">
        <v>86386.3</v>
      </c>
      <c r="K122" s="65">
        <v>6521.5</v>
      </c>
      <c r="L122" s="67">
        <f t="shared" si="13"/>
        <v>92907.8</v>
      </c>
      <c r="M122" s="77" t="s">
        <v>41</v>
      </c>
      <c r="N122" s="69">
        <v>8277.1</v>
      </c>
      <c r="O122" s="69">
        <v>372759.3</v>
      </c>
      <c r="P122" s="71">
        <v>51954.3</v>
      </c>
      <c r="Q122" s="73">
        <v>14402.6</v>
      </c>
      <c r="R122" s="66">
        <f>7447.9-2.1</f>
        <v>7445.799999999999</v>
      </c>
      <c r="S122" s="73">
        <f t="shared" si="14"/>
        <v>781927.9</v>
      </c>
    </row>
    <row r="123" spans="1:19" s="72" customFormat="1" ht="15" customHeight="1" hidden="1">
      <c r="A123" s="97" t="s">
        <v>117</v>
      </c>
      <c r="B123" s="73">
        <v>180263.8</v>
      </c>
      <c r="C123" s="69">
        <v>44006.6</v>
      </c>
      <c r="D123" s="65">
        <v>3435.2999999999997</v>
      </c>
      <c r="E123" s="65">
        <v>3861.3</v>
      </c>
      <c r="F123" s="65">
        <v>7826.4</v>
      </c>
      <c r="G123" s="70">
        <v>33</v>
      </c>
      <c r="H123" s="64">
        <v>611</v>
      </c>
      <c r="I123" s="71">
        <f t="shared" si="12"/>
        <v>240037.39999999997</v>
      </c>
      <c r="J123" s="70">
        <v>90816.70000000001</v>
      </c>
      <c r="K123" s="65">
        <v>8686.500000000002</v>
      </c>
      <c r="L123" s="67">
        <f t="shared" si="13"/>
        <v>99503.20000000001</v>
      </c>
      <c r="M123" s="77" t="s">
        <v>41</v>
      </c>
      <c r="N123" s="69">
        <v>11660.1</v>
      </c>
      <c r="O123" s="69">
        <v>378277.3</v>
      </c>
      <c r="P123" s="71">
        <v>51954.3</v>
      </c>
      <c r="Q123" s="73">
        <v>16233.8</v>
      </c>
      <c r="R123" s="66">
        <f>8022.9-0.6</f>
        <v>8022.299999999999</v>
      </c>
      <c r="S123" s="73">
        <f t="shared" si="14"/>
        <v>805688.4000000001</v>
      </c>
    </row>
    <row r="124" spans="1:19" s="72" customFormat="1" ht="15" customHeight="1" hidden="1">
      <c r="A124" s="97" t="s">
        <v>118</v>
      </c>
      <c r="B124" s="73">
        <v>198246.9</v>
      </c>
      <c r="C124" s="69">
        <v>39879.9</v>
      </c>
      <c r="D124" s="65">
        <v>2827.5</v>
      </c>
      <c r="E124" s="65">
        <v>22413.6</v>
      </c>
      <c r="F124" s="65">
        <v>3234.3</v>
      </c>
      <c r="G124" s="70">
        <v>14.5</v>
      </c>
      <c r="H124" s="64">
        <v>669.4</v>
      </c>
      <c r="I124" s="71">
        <f t="shared" si="12"/>
        <v>267286.1</v>
      </c>
      <c r="J124" s="70">
        <v>115882.1</v>
      </c>
      <c r="K124" s="65">
        <v>8635.499999999998</v>
      </c>
      <c r="L124" s="67">
        <f t="shared" si="13"/>
        <v>124517.6</v>
      </c>
      <c r="M124" s="65">
        <v>6800</v>
      </c>
      <c r="N124" s="69">
        <v>15658.2</v>
      </c>
      <c r="O124" s="69">
        <v>418096.6</v>
      </c>
      <c r="P124" s="71">
        <v>51954.3</v>
      </c>
      <c r="Q124" s="73">
        <v>7906</v>
      </c>
      <c r="R124" s="66">
        <v>19735.000000000015</v>
      </c>
      <c r="S124" s="73">
        <f t="shared" si="14"/>
        <v>911953.8</v>
      </c>
    </row>
    <row r="125" spans="1:19" s="72" customFormat="1" ht="15" customHeight="1" hidden="1">
      <c r="A125" s="81"/>
      <c r="B125" s="73"/>
      <c r="C125" s="69"/>
      <c r="D125" s="65"/>
      <c r="E125" s="65"/>
      <c r="F125" s="65"/>
      <c r="G125" s="70"/>
      <c r="H125" s="64"/>
      <c r="I125" s="71"/>
      <c r="J125" s="70"/>
      <c r="K125" s="65"/>
      <c r="L125" s="67"/>
      <c r="M125" s="65"/>
      <c r="N125" s="69"/>
      <c r="O125" s="69"/>
      <c r="P125" s="71"/>
      <c r="Q125" s="73"/>
      <c r="R125" s="66"/>
      <c r="S125" s="73"/>
    </row>
    <row r="126" spans="1:19" s="72" customFormat="1" ht="15" customHeight="1" hidden="1">
      <c r="A126" s="81" t="s">
        <v>91</v>
      </c>
      <c r="B126" s="69">
        <v>182477.4</v>
      </c>
      <c r="C126" s="69">
        <v>41549.8</v>
      </c>
      <c r="D126" s="65">
        <v>3714.3</v>
      </c>
      <c r="E126" s="65">
        <v>5031.2</v>
      </c>
      <c r="F126" s="65">
        <v>1475.9</v>
      </c>
      <c r="G126" s="70">
        <v>48.3</v>
      </c>
      <c r="H126" s="64">
        <v>1113.7</v>
      </c>
      <c r="I126" s="71">
        <f aca="true" t="shared" si="15" ref="I126:I137">SUM(B126:H126)</f>
        <v>235410.6</v>
      </c>
      <c r="J126" s="70">
        <v>153482.9</v>
      </c>
      <c r="K126" s="65">
        <v>8312.199999999999</v>
      </c>
      <c r="L126" s="65">
        <f aca="true" t="shared" si="16" ref="L126:L137">SUM(J126:K126)</f>
        <v>161795.1</v>
      </c>
      <c r="M126" s="77" t="s">
        <v>41</v>
      </c>
      <c r="N126" s="79">
        <v>12013.6</v>
      </c>
      <c r="O126" s="79">
        <v>429150.2</v>
      </c>
      <c r="P126" s="70">
        <v>51954.3</v>
      </c>
      <c r="Q126" s="79">
        <v>8993.8</v>
      </c>
      <c r="R126" s="64">
        <v>12466.4</v>
      </c>
      <c r="S126" s="73">
        <f aca="true" t="shared" si="17" ref="S126:S138">SUM(I126,L126:O126,R126,P126,Q126)</f>
        <v>911784.0000000001</v>
      </c>
    </row>
    <row r="127" spans="1:19" s="72" customFormat="1" ht="15" customHeight="1" hidden="1">
      <c r="A127" s="81" t="s">
        <v>120</v>
      </c>
      <c r="B127" s="69">
        <v>188192.1</v>
      </c>
      <c r="C127" s="69">
        <v>46670</v>
      </c>
      <c r="D127" s="65">
        <v>2782.2</v>
      </c>
      <c r="E127" s="65">
        <v>11248.3</v>
      </c>
      <c r="F127" s="65">
        <v>6918.699999999999</v>
      </c>
      <c r="G127" s="70">
        <v>41.8</v>
      </c>
      <c r="H127" s="64">
        <v>415.1</v>
      </c>
      <c r="I127" s="71">
        <f t="shared" si="15"/>
        <v>256268.2</v>
      </c>
      <c r="J127" s="70">
        <v>182101.80000000002</v>
      </c>
      <c r="K127" s="65">
        <v>9581.999999999998</v>
      </c>
      <c r="L127" s="65">
        <f t="shared" si="16"/>
        <v>191683.80000000002</v>
      </c>
      <c r="M127" s="77" t="s">
        <v>41</v>
      </c>
      <c r="N127" s="79">
        <v>9408</v>
      </c>
      <c r="O127" s="79">
        <v>451586.9</v>
      </c>
      <c r="P127" s="70">
        <v>51954.3</v>
      </c>
      <c r="Q127" s="79">
        <v>14534.400000000001</v>
      </c>
      <c r="R127" s="64">
        <v>12817.4</v>
      </c>
      <c r="S127" s="73">
        <f t="shared" si="17"/>
        <v>988253.0000000001</v>
      </c>
    </row>
    <row r="128" spans="1:19" s="72" customFormat="1" ht="15" customHeight="1" hidden="1">
      <c r="A128" s="81" t="s">
        <v>107</v>
      </c>
      <c r="B128" s="69">
        <v>189178.2</v>
      </c>
      <c r="C128" s="69">
        <v>45758.4</v>
      </c>
      <c r="D128" s="65">
        <v>2115</v>
      </c>
      <c r="E128" s="65">
        <v>9951.2</v>
      </c>
      <c r="F128" s="65">
        <v>5247.000000000001</v>
      </c>
      <c r="G128" s="70">
        <v>70.7</v>
      </c>
      <c r="H128" s="64">
        <v>298.6</v>
      </c>
      <c r="I128" s="71">
        <f t="shared" si="15"/>
        <v>252619.10000000003</v>
      </c>
      <c r="J128" s="70">
        <v>127805.2</v>
      </c>
      <c r="K128" s="65">
        <v>12116.600000000002</v>
      </c>
      <c r="L128" s="65">
        <f t="shared" si="16"/>
        <v>139921.8</v>
      </c>
      <c r="M128" s="77" t="s">
        <v>41</v>
      </c>
      <c r="N128" s="79">
        <v>8762.2</v>
      </c>
      <c r="O128" s="79">
        <v>407828.7</v>
      </c>
      <c r="P128" s="70">
        <v>51954.3</v>
      </c>
      <c r="Q128" s="79">
        <v>18082</v>
      </c>
      <c r="R128" s="64">
        <v>10925</v>
      </c>
      <c r="S128" s="73">
        <f t="shared" si="17"/>
        <v>890093.1000000001</v>
      </c>
    </row>
    <row r="129" spans="1:19" s="72" customFormat="1" ht="15" customHeight="1" hidden="1">
      <c r="A129" s="81" t="s">
        <v>127</v>
      </c>
      <c r="B129" s="69">
        <v>192574</v>
      </c>
      <c r="C129" s="69">
        <v>53981.2</v>
      </c>
      <c r="D129" s="65">
        <v>3020.3</v>
      </c>
      <c r="E129" s="65">
        <v>1329.9</v>
      </c>
      <c r="F129" s="65">
        <v>7844.6</v>
      </c>
      <c r="G129" s="70">
        <v>43</v>
      </c>
      <c r="H129" s="64">
        <v>760.2</v>
      </c>
      <c r="I129" s="71">
        <f t="shared" si="15"/>
        <v>259553.2</v>
      </c>
      <c r="J129" s="70">
        <v>124352.7</v>
      </c>
      <c r="K129" s="65">
        <v>9775.1</v>
      </c>
      <c r="L129" s="65">
        <f t="shared" si="16"/>
        <v>134127.8</v>
      </c>
      <c r="M129" s="77" t="s">
        <v>41</v>
      </c>
      <c r="N129" s="79">
        <v>8634.1</v>
      </c>
      <c r="O129" s="79">
        <v>405891.2</v>
      </c>
      <c r="P129" s="70">
        <v>62982</v>
      </c>
      <c r="Q129" s="79">
        <v>5719.1</v>
      </c>
      <c r="R129" s="64">
        <v>9107.7</v>
      </c>
      <c r="S129" s="73">
        <f t="shared" si="17"/>
        <v>886015.1</v>
      </c>
    </row>
    <row r="130" spans="1:19" s="72" customFormat="1" ht="15" customHeight="1" hidden="1">
      <c r="A130" s="81" t="s">
        <v>132</v>
      </c>
      <c r="B130" s="69">
        <v>197918.3</v>
      </c>
      <c r="C130" s="69">
        <v>46750.1</v>
      </c>
      <c r="D130" s="65">
        <v>2696.4</v>
      </c>
      <c r="E130" s="65">
        <v>4135.400000000001</v>
      </c>
      <c r="F130" s="65">
        <v>7258.8</v>
      </c>
      <c r="G130" s="70">
        <v>140.3</v>
      </c>
      <c r="H130" s="64">
        <v>373.5</v>
      </c>
      <c r="I130" s="71">
        <f t="shared" si="15"/>
        <v>259272.79999999996</v>
      </c>
      <c r="J130" s="70">
        <v>139544.3</v>
      </c>
      <c r="K130" s="65">
        <v>10014.800000000003</v>
      </c>
      <c r="L130" s="65">
        <f t="shared" si="16"/>
        <v>149559.09999999998</v>
      </c>
      <c r="M130" s="77" t="s">
        <v>41</v>
      </c>
      <c r="N130" s="79">
        <v>5998.5</v>
      </c>
      <c r="O130" s="79">
        <v>399562.69999999995</v>
      </c>
      <c r="P130" s="70">
        <v>62981.7</v>
      </c>
      <c r="Q130" s="79">
        <v>1325.9</v>
      </c>
      <c r="R130" s="64">
        <v>7909.599999999999</v>
      </c>
      <c r="S130" s="73">
        <f t="shared" si="17"/>
        <v>886610.2999999998</v>
      </c>
    </row>
    <row r="131" spans="1:19" s="72" customFormat="1" ht="15" customHeight="1" hidden="1">
      <c r="A131" s="81" t="s">
        <v>133</v>
      </c>
      <c r="B131" s="69">
        <v>205811.8</v>
      </c>
      <c r="C131" s="69">
        <v>56976.3</v>
      </c>
      <c r="D131" s="65">
        <v>2218.5</v>
      </c>
      <c r="E131" s="65">
        <v>7760.5</v>
      </c>
      <c r="F131" s="65">
        <v>7471.700000000001</v>
      </c>
      <c r="G131" s="70">
        <v>79.7</v>
      </c>
      <c r="H131" s="64">
        <v>271.5</v>
      </c>
      <c r="I131" s="71">
        <f t="shared" si="15"/>
        <v>280590</v>
      </c>
      <c r="J131" s="70">
        <v>118464.1</v>
      </c>
      <c r="K131" s="65">
        <v>7468.099999999999</v>
      </c>
      <c r="L131" s="65">
        <f t="shared" si="16"/>
        <v>125932.20000000001</v>
      </c>
      <c r="M131" s="77" t="s">
        <v>41</v>
      </c>
      <c r="N131" s="79">
        <v>3846.6</v>
      </c>
      <c r="O131" s="79">
        <v>370829.69999999995</v>
      </c>
      <c r="P131" s="70">
        <v>62981.7</v>
      </c>
      <c r="Q131" s="79">
        <v>-3424.7</v>
      </c>
      <c r="R131" s="64">
        <v>8142.1</v>
      </c>
      <c r="S131" s="73">
        <f t="shared" si="17"/>
        <v>848897.6</v>
      </c>
    </row>
    <row r="132" spans="1:19" s="72" customFormat="1" ht="15" customHeight="1" hidden="1">
      <c r="A132" s="81" t="s">
        <v>135</v>
      </c>
      <c r="B132" s="69">
        <v>205754.8</v>
      </c>
      <c r="C132" s="69">
        <v>42545.7</v>
      </c>
      <c r="D132" s="65">
        <v>1712.5</v>
      </c>
      <c r="E132" s="65">
        <v>1034.6</v>
      </c>
      <c r="F132" s="65">
        <v>3739.7000000000003</v>
      </c>
      <c r="G132" s="70">
        <v>57.6</v>
      </c>
      <c r="H132" s="64">
        <v>313.7</v>
      </c>
      <c r="I132" s="71">
        <f t="shared" si="15"/>
        <v>255158.60000000003</v>
      </c>
      <c r="J132" s="70">
        <v>177698.40000000002</v>
      </c>
      <c r="K132" s="65">
        <v>8995.3</v>
      </c>
      <c r="L132" s="65">
        <f t="shared" si="16"/>
        <v>186693.7</v>
      </c>
      <c r="M132" s="77" t="s">
        <v>41</v>
      </c>
      <c r="N132" s="79">
        <v>3846.6</v>
      </c>
      <c r="O132" s="79">
        <v>371231.19999999995</v>
      </c>
      <c r="P132" s="70">
        <v>62981.7</v>
      </c>
      <c r="Q132" s="79">
        <v>-5328</v>
      </c>
      <c r="R132" s="64">
        <v>7997.4</v>
      </c>
      <c r="S132" s="73">
        <f t="shared" si="17"/>
        <v>882581.2</v>
      </c>
    </row>
    <row r="133" spans="1:19" s="72" customFormat="1" ht="15" customHeight="1" hidden="1">
      <c r="A133" s="81" t="s">
        <v>136</v>
      </c>
      <c r="B133" s="69">
        <v>207966.5</v>
      </c>
      <c r="C133" s="69">
        <v>65307.6</v>
      </c>
      <c r="D133" s="65">
        <v>2783.3</v>
      </c>
      <c r="E133" s="65">
        <v>4962.200000000001</v>
      </c>
      <c r="F133" s="65">
        <v>7575.4</v>
      </c>
      <c r="G133" s="70">
        <v>52.2</v>
      </c>
      <c r="H133" s="64">
        <v>218.9</v>
      </c>
      <c r="I133" s="71">
        <f t="shared" si="15"/>
        <v>288866.10000000003</v>
      </c>
      <c r="J133" s="70">
        <v>132464.3</v>
      </c>
      <c r="K133" s="65">
        <v>11129.4</v>
      </c>
      <c r="L133" s="65">
        <f t="shared" si="16"/>
        <v>143593.69999999998</v>
      </c>
      <c r="M133" s="77" t="s">
        <v>41</v>
      </c>
      <c r="N133" s="79">
        <v>4059.5</v>
      </c>
      <c r="O133" s="79">
        <v>366147.9</v>
      </c>
      <c r="P133" s="70">
        <v>62981.7</v>
      </c>
      <c r="Q133" s="79">
        <v>-6995.2</v>
      </c>
      <c r="R133" s="64">
        <v>8018.7</v>
      </c>
      <c r="S133" s="73">
        <f t="shared" si="17"/>
        <v>866672.4</v>
      </c>
    </row>
    <row r="134" spans="1:20" s="80" customFormat="1" ht="15" customHeight="1" hidden="1">
      <c r="A134" s="81" t="s">
        <v>137</v>
      </c>
      <c r="B134" s="79">
        <v>201031</v>
      </c>
      <c r="C134" s="79">
        <v>65670.9</v>
      </c>
      <c r="D134" s="70">
        <v>4193</v>
      </c>
      <c r="E134" s="70">
        <v>1516.7</v>
      </c>
      <c r="F134" s="70">
        <v>4666.1</v>
      </c>
      <c r="G134" s="70">
        <v>54.7</v>
      </c>
      <c r="H134" s="64">
        <v>280.2</v>
      </c>
      <c r="I134" s="70">
        <f t="shared" si="15"/>
        <v>277412.60000000003</v>
      </c>
      <c r="J134" s="70">
        <v>140502.5</v>
      </c>
      <c r="K134" s="70">
        <v>13394.6</v>
      </c>
      <c r="L134" s="70">
        <f t="shared" si="16"/>
        <v>153897.1</v>
      </c>
      <c r="M134" s="77" t="s">
        <v>41</v>
      </c>
      <c r="N134" s="79">
        <v>3616.6</v>
      </c>
      <c r="O134" s="79">
        <v>380943.4</v>
      </c>
      <c r="P134" s="70">
        <v>62981.7</v>
      </c>
      <c r="Q134" s="79">
        <v>-7091.6</v>
      </c>
      <c r="R134" s="64">
        <v>8182.599999999999</v>
      </c>
      <c r="S134" s="79">
        <f t="shared" si="17"/>
        <v>879942.4</v>
      </c>
      <c r="T134" s="72"/>
    </row>
    <row r="135" spans="1:20" s="80" customFormat="1" ht="15" customHeight="1" hidden="1">
      <c r="A135" s="81" t="s">
        <v>138</v>
      </c>
      <c r="B135" s="79">
        <v>202480.1</v>
      </c>
      <c r="C135" s="79">
        <v>63902</v>
      </c>
      <c r="D135" s="70">
        <v>3120.3999999999996</v>
      </c>
      <c r="E135" s="70">
        <v>14280.7</v>
      </c>
      <c r="F135" s="70">
        <v>4807.4</v>
      </c>
      <c r="G135" s="70">
        <v>67.5</v>
      </c>
      <c r="H135" s="64">
        <v>563.8</v>
      </c>
      <c r="I135" s="70">
        <f t="shared" si="15"/>
        <v>289221.9</v>
      </c>
      <c r="J135" s="70">
        <v>157765.7</v>
      </c>
      <c r="K135" s="70">
        <v>11185.099999999999</v>
      </c>
      <c r="L135" s="70">
        <f t="shared" si="16"/>
        <v>168950.80000000002</v>
      </c>
      <c r="M135" s="77" t="s">
        <v>41</v>
      </c>
      <c r="N135" s="79">
        <v>3527.8</v>
      </c>
      <c r="O135" s="79">
        <v>382194.3</v>
      </c>
      <c r="P135" s="70">
        <v>62981.7</v>
      </c>
      <c r="Q135" s="79">
        <v>-8333.2</v>
      </c>
      <c r="R135" s="64">
        <v>10430.4</v>
      </c>
      <c r="S135" s="79">
        <f t="shared" si="17"/>
        <v>908973.7000000001</v>
      </c>
      <c r="T135" s="72"/>
    </row>
    <row r="136" spans="1:20" s="80" customFormat="1" ht="15" customHeight="1" hidden="1">
      <c r="A136" s="81" t="s">
        <v>139</v>
      </c>
      <c r="B136" s="79">
        <v>205821.3</v>
      </c>
      <c r="C136" s="79">
        <v>68293.7</v>
      </c>
      <c r="D136" s="70">
        <v>2717.5</v>
      </c>
      <c r="E136" s="70">
        <v>4330</v>
      </c>
      <c r="F136" s="70">
        <v>5401.499999999999</v>
      </c>
      <c r="G136" s="70">
        <v>104.6</v>
      </c>
      <c r="H136" s="64">
        <v>723.9</v>
      </c>
      <c r="I136" s="70">
        <f t="shared" si="15"/>
        <v>287392.5</v>
      </c>
      <c r="J136" s="70">
        <v>154764.9</v>
      </c>
      <c r="K136" s="70">
        <v>14064.599999999999</v>
      </c>
      <c r="L136" s="70">
        <f t="shared" si="16"/>
        <v>168829.5</v>
      </c>
      <c r="M136" s="77" t="s">
        <v>41</v>
      </c>
      <c r="N136" s="79">
        <v>6643.5</v>
      </c>
      <c r="O136" s="79">
        <v>380221.19999999995</v>
      </c>
      <c r="P136" s="70">
        <v>62981.7</v>
      </c>
      <c r="Q136" s="79">
        <v>-9920.8</v>
      </c>
      <c r="R136" s="64">
        <v>8132.8</v>
      </c>
      <c r="S136" s="79">
        <f t="shared" si="17"/>
        <v>904280.3999999999</v>
      </c>
      <c r="T136" s="72"/>
    </row>
    <row r="137" spans="1:20" s="80" customFormat="1" ht="15" customHeight="1" hidden="1">
      <c r="A137" s="81" t="s">
        <v>140</v>
      </c>
      <c r="B137" s="79">
        <v>211683.7</v>
      </c>
      <c r="C137" s="79">
        <v>82710.8</v>
      </c>
      <c r="D137" s="70">
        <v>2674</v>
      </c>
      <c r="E137" s="70">
        <v>5135.8</v>
      </c>
      <c r="F137" s="70">
        <v>3566.2</v>
      </c>
      <c r="G137" s="70">
        <v>28</v>
      </c>
      <c r="H137" s="64">
        <v>787.6</v>
      </c>
      <c r="I137" s="70">
        <f t="shared" si="15"/>
        <v>306586.1</v>
      </c>
      <c r="J137" s="70">
        <v>152366.7</v>
      </c>
      <c r="K137" s="70">
        <v>14733.599999999997</v>
      </c>
      <c r="L137" s="70">
        <f t="shared" si="16"/>
        <v>167100.30000000002</v>
      </c>
      <c r="M137" s="77" t="s">
        <v>41</v>
      </c>
      <c r="N137" s="79">
        <v>7533</v>
      </c>
      <c r="O137" s="79">
        <v>383189.69999999995</v>
      </c>
      <c r="P137" s="70">
        <v>62981.7</v>
      </c>
      <c r="Q137" s="79">
        <v>-13851.5</v>
      </c>
      <c r="R137" s="64">
        <v>10207.7</v>
      </c>
      <c r="S137" s="79">
        <f t="shared" si="17"/>
        <v>923746.9999999999</v>
      </c>
      <c r="T137" s="72"/>
    </row>
    <row r="138" spans="1:20" s="80" customFormat="1" ht="15" customHeight="1" hidden="1">
      <c r="A138" s="81" t="s">
        <v>128</v>
      </c>
      <c r="B138" s="79">
        <v>202030.1</v>
      </c>
      <c r="C138" s="79">
        <v>63490.3</v>
      </c>
      <c r="D138" s="70">
        <v>2260.2</v>
      </c>
      <c r="E138" s="70">
        <v>957</v>
      </c>
      <c r="F138" s="70">
        <v>2464.7</v>
      </c>
      <c r="G138" s="70">
        <v>33.9</v>
      </c>
      <c r="H138" s="64">
        <v>1652.3</v>
      </c>
      <c r="I138" s="70">
        <f>SUM(B138:H138)</f>
        <v>272888.50000000006</v>
      </c>
      <c r="J138" s="70">
        <v>172496.40000000002</v>
      </c>
      <c r="K138" s="70">
        <v>13216.800000000001</v>
      </c>
      <c r="L138" s="70">
        <f>SUM(J138:K138)</f>
        <v>185713.2</v>
      </c>
      <c r="M138" s="77" t="s">
        <v>41</v>
      </c>
      <c r="N138" s="79">
        <v>10044</v>
      </c>
      <c r="O138" s="79">
        <v>374224.5</v>
      </c>
      <c r="P138" s="70">
        <v>62981.7</v>
      </c>
      <c r="Q138" s="79">
        <v>-14103.1</v>
      </c>
      <c r="R138" s="64">
        <v>8292.800000000001</v>
      </c>
      <c r="S138" s="79">
        <f t="shared" si="17"/>
        <v>900041.6000000001</v>
      </c>
      <c r="T138" s="72"/>
    </row>
    <row r="139" spans="1:20" s="80" customFormat="1" ht="15" customHeight="1" hidden="1">
      <c r="A139" s="82"/>
      <c r="B139" s="79"/>
      <c r="C139" s="79"/>
      <c r="D139" s="70"/>
      <c r="E139" s="70"/>
      <c r="F139" s="70"/>
      <c r="G139" s="70"/>
      <c r="H139" s="64"/>
      <c r="I139" s="70"/>
      <c r="J139" s="70"/>
      <c r="K139" s="70"/>
      <c r="L139" s="70"/>
      <c r="M139" s="77"/>
      <c r="N139" s="79"/>
      <c r="O139" s="79"/>
      <c r="P139" s="70"/>
      <c r="Q139" s="79"/>
      <c r="R139" s="64"/>
      <c r="S139" s="79"/>
      <c r="T139" s="72"/>
    </row>
    <row r="140" spans="1:20" s="80" customFormat="1" ht="15" customHeight="1" hidden="1">
      <c r="A140" s="81" t="s">
        <v>144</v>
      </c>
      <c r="B140" s="79">
        <v>199255.9</v>
      </c>
      <c r="C140" s="79">
        <v>59022.7</v>
      </c>
      <c r="D140" s="70">
        <v>2097</v>
      </c>
      <c r="E140" s="70">
        <v>2284.7</v>
      </c>
      <c r="F140" s="70">
        <v>2938.3</v>
      </c>
      <c r="G140" s="70">
        <v>32.3</v>
      </c>
      <c r="H140" s="64">
        <v>613</v>
      </c>
      <c r="I140" s="70">
        <f aca="true" t="shared" si="18" ref="I140:I145">SUM(B140:H140)</f>
        <v>266243.89999999997</v>
      </c>
      <c r="J140" s="70">
        <v>167665</v>
      </c>
      <c r="K140" s="70">
        <v>14149.8</v>
      </c>
      <c r="L140" s="70">
        <f aca="true" t="shared" si="19" ref="L140:L145">SUM(J140:K140)</f>
        <v>181814.8</v>
      </c>
      <c r="M140" s="77" t="s">
        <v>41</v>
      </c>
      <c r="N140" s="79">
        <v>9270.7</v>
      </c>
      <c r="O140" s="79">
        <v>385806.2</v>
      </c>
      <c r="P140" s="70">
        <v>62981.7</v>
      </c>
      <c r="Q140" s="79">
        <v>-13312</v>
      </c>
      <c r="R140" s="64">
        <f>1240.9+8347.8</f>
        <v>9588.699999999999</v>
      </c>
      <c r="S140" s="79">
        <f aca="true" t="shared" si="20" ref="S140:S150">SUM(I140,L140:O140,R140,P140,Q140)</f>
        <v>902393.9999999999</v>
      </c>
      <c r="T140" s="72"/>
    </row>
    <row r="141" spans="1:20" s="80" customFormat="1" ht="15" customHeight="1" hidden="1">
      <c r="A141" s="81" t="s">
        <v>125</v>
      </c>
      <c r="B141" s="79">
        <v>201300.8</v>
      </c>
      <c r="C141" s="79">
        <v>70896.4</v>
      </c>
      <c r="D141" s="70">
        <v>1135.9</v>
      </c>
      <c r="E141" s="70">
        <v>426.9</v>
      </c>
      <c r="F141" s="70">
        <v>1041.5</v>
      </c>
      <c r="G141" s="70">
        <v>24.6</v>
      </c>
      <c r="H141" s="64">
        <v>1373.4</v>
      </c>
      <c r="I141" s="70">
        <f t="shared" si="18"/>
        <v>276199.5</v>
      </c>
      <c r="J141" s="70">
        <v>151558.6</v>
      </c>
      <c r="K141" s="70">
        <v>9517.3</v>
      </c>
      <c r="L141" s="70">
        <f t="shared" si="19"/>
        <v>161075.9</v>
      </c>
      <c r="M141" s="77">
        <v>27200</v>
      </c>
      <c r="N141" s="79">
        <v>6602.2</v>
      </c>
      <c r="O141" s="79">
        <v>396544.3</v>
      </c>
      <c r="P141" s="70">
        <v>62981.7</v>
      </c>
      <c r="Q141" s="79">
        <v>-13903.7</v>
      </c>
      <c r="R141" s="64">
        <f>1098+8346.4+7.5</f>
        <v>9451.9</v>
      </c>
      <c r="S141" s="79">
        <f t="shared" si="20"/>
        <v>926151.8</v>
      </c>
      <c r="T141" s="72"/>
    </row>
    <row r="142" spans="1:20" s="80" customFormat="1" ht="15" customHeight="1" hidden="1">
      <c r="A142" s="81" t="s">
        <v>147</v>
      </c>
      <c r="B142" s="79">
        <v>208491.1</v>
      </c>
      <c r="C142" s="79">
        <v>88908.1</v>
      </c>
      <c r="D142" s="70">
        <v>1749.2</v>
      </c>
      <c r="E142" s="70">
        <v>1280.1</v>
      </c>
      <c r="F142" s="70">
        <v>3119.1</v>
      </c>
      <c r="G142" s="70">
        <v>29.9</v>
      </c>
      <c r="H142" s="64">
        <v>3474.7</v>
      </c>
      <c r="I142" s="70">
        <f t="shared" si="18"/>
        <v>307052.2</v>
      </c>
      <c r="J142" s="70">
        <v>154586</v>
      </c>
      <c r="K142" s="70">
        <v>9327.7</v>
      </c>
      <c r="L142" s="70">
        <f t="shared" si="19"/>
        <v>163913.7</v>
      </c>
      <c r="M142" s="77" t="s">
        <v>41</v>
      </c>
      <c r="N142" s="79">
        <v>6404.9</v>
      </c>
      <c r="O142" s="79">
        <v>398474</v>
      </c>
      <c r="P142" s="70">
        <v>78783.3</v>
      </c>
      <c r="Q142" s="79">
        <v>800</v>
      </c>
      <c r="R142" s="64">
        <f>1060.8+8334.8+4.7</f>
        <v>9400.3</v>
      </c>
      <c r="S142" s="79">
        <f t="shared" si="20"/>
        <v>964828.4000000001</v>
      </c>
      <c r="T142" s="72"/>
    </row>
    <row r="143" spans="1:20" s="80" customFormat="1" ht="15" customHeight="1" hidden="1">
      <c r="A143" s="81" t="s">
        <v>148</v>
      </c>
      <c r="B143" s="79">
        <v>217664.2</v>
      </c>
      <c r="C143" s="79">
        <v>94855.4</v>
      </c>
      <c r="D143" s="70">
        <v>2191.3</v>
      </c>
      <c r="E143" s="70">
        <v>297.8</v>
      </c>
      <c r="F143" s="70">
        <v>1750.3</v>
      </c>
      <c r="G143" s="70">
        <v>45</v>
      </c>
      <c r="H143" s="64">
        <v>1633.4</v>
      </c>
      <c r="I143" s="70">
        <f t="shared" si="18"/>
        <v>318437.39999999997</v>
      </c>
      <c r="J143" s="70">
        <v>137527.9</v>
      </c>
      <c r="K143" s="70">
        <v>5877.3</v>
      </c>
      <c r="L143" s="70">
        <f t="shared" si="19"/>
        <v>143405.19999999998</v>
      </c>
      <c r="M143" s="77" t="s">
        <v>41</v>
      </c>
      <c r="N143" s="79">
        <v>5114.3</v>
      </c>
      <c r="O143" s="79">
        <v>396516</v>
      </c>
      <c r="P143" s="70">
        <v>78783.3</v>
      </c>
      <c r="Q143" s="79">
        <v>3446.2</v>
      </c>
      <c r="R143" s="64">
        <f>1028.6+8275.1+3.5</f>
        <v>9307.2</v>
      </c>
      <c r="S143" s="79">
        <f t="shared" si="20"/>
        <v>955009.5999999999</v>
      </c>
      <c r="T143" s="72"/>
    </row>
    <row r="144" spans="1:20" s="80" customFormat="1" ht="15" customHeight="1" hidden="1">
      <c r="A144" s="97" t="s">
        <v>149</v>
      </c>
      <c r="B144" s="79">
        <v>223781.8</v>
      </c>
      <c r="C144" s="79">
        <v>100650</v>
      </c>
      <c r="D144" s="70">
        <v>1303.5</v>
      </c>
      <c r="E144" s="70">
        <v>1428.4</v>
      </c>
      <c r="F144" s="70">
        <v>6385</v>
      </c>
      <c r="G144" s="70">
        <v>20.2</v>
      </c>
      <c r="H144" s="64">
        <v>1329.6</v>
      </c>
      <c r="I144" s="70">
        <f t="shared" si="18"/>
        <v>334898.5</v>
      </c>
      <c r="J144" s="70">
        <v>142792.2</v>
      </c>
      <c r="K144" s="70">
        <v>8597.5</v>
      </c>
      <c r="L144" s="70">
        <f t="shared" si="19"/>
        <v>151389.7</v>
      </c>
      <c r="M144" s="77" t="s">
        <v>41</v>
      </c>
      <c r="N144" s="79">
        <v>2743.8</v>
      </c>
      <c r="O144" s="79">
        <v>397532.8</v>
      </c>
      <c r="P144" s="70">
        <v>78783.3</v>
      </c>
      <c r="Q144" s="79">
        <v>2716.3</v>
      </c>
      <c r="R144" s="64">
        <f>1057.4+8115.5+3615.5</f>
        <v>12788.4</v>
      </c>
      <c r="S144" s="79">
        <f t="shared" si="20"/>
        <v>980852.8000000002</v>
      </c>
      <c r="T144" s="72"/>
    </row>
    <row r="145" spans="1:20" s="80" customFormat="1" ht="15" customHeight="1" hidden="1">
      <c r="A145" s="97" t="s">
        <v>151</v>
      </c>
      <c r="B145" s="79">
        <v>239726</v>
      </c>
      <c r="C145" s="79">
        <v>85589</v>
      </c>
      <c r="D145" s="70">
        <v>1871.9</v>
      </c>
      <c r="E145" s="70">
        <v>5114.6</v>
      </c>
      <c r="F145" s="70">
        <v>6762.7</v>
      </c>
      <c r="G145" s="70">
        <v>16.1</v>
      </c>
      <c r="H145" s="64">
        <v>3757.8</v>
      </c>
      <c r="I145" s="70">
        <f t="shared" si="18"/>
        <v>342838.1</v>
      </c>
      <c r="J145" s="70">
        <v>138095.3</v>
      </c>
      <c r="K145" s="70">
        <v>7698.4</v>
      </c>
      <c r="L145" s="70">
        <f t="shared" si="19"/>
        <v>145793.69999999998</v>
      </c>
      <c r="M145" s="77" t="s">
        <v>41</v>
      </c>
      <c r="N145" s="79">
        <v>9700.7</v>
      </c>
      <c r="O145" s="79">
        <v>385996.8</v>
      </c>
      <c r="P145" s="70">
        <v>78783.3</v>
      </c>
      <c r="Q145" s="79">
        <v>2458.5</v>
      </c>
      <c r="R145" s="64">
        <f>1203.3+7690.8+2.3</f>
        <v>8896.4</v>
      </c>
      <c r="S145" s="79">
        <f t="shared" si="20"/>
        <v>974467.5</v>
      </c>
      <c r="T145" s="72"/>
    </row>
    <row r="146" spans="1:20" s="80" customFormat="1" ht="15" customHeight="1" hidden="1">
      <c r="A146" s="97" t="s">
        <v>150</v>
      </c>
      <c r="B146" s="79">
        <v>234022.8</v>
      </c>
      <c r="C146" s="79">
        <v>93988.4</v>
      </c>
      <c r="D146" s="70">
        <v>1591.3</v>
      </c>
      <c r="E146" s="70">
        <v>622.8</v>
      </c>
      <c r="F146" s="70">
        <v>2898.3</v>
      </c>
      <c r="G146" s="70">
        <v>44.9</v>
      </c>
      <c r="H146" s="64">
        <v>4866.3</v>
      </c>
      <c r="I146" s="70">
        <f>SUM(B146:H146)</f>
        <v>338034.79999999993</v>
      </c>
      <c r="J146" s="70">
        <v>137255.5</v>
      </c>
      <c r="K146" s="70">
        <v>13616.9</v>
      </c>
      <c r="L146" s="70">
        <f>SUM(J146:K146)</f>
        <v>150872.4</v>
      </c>
      <c r="M146" s="77" t="s">
        <v>41</v>
      </c>
      <c r="N146" s="79">
        <v>9573.8</v>
      </c>
      <c r="O146" s="79">
        <v>379199.7</v>
      </c>
      <c r="P146" s="70">
        <v>78783.3</v>
      </c>
      <c r="Q146" s="79">
        <v>4721.2</v>
      </c>
      <c r="R146" s="64">
        <f>940.7+7960.5+1.6</f>
        <v>8902.800000000001</v>
      </c>
      <c r="S146" s="79">
        <f t="shared" si="20"/>
        <v>970088</v>
      </c>
      <c r="T146" s="72"/>
    </row>
    <row r="147" spans="1:20" s="80" customFormat="1" ht="15" customHeight="1" hidden="1">
      <c r="A147" s="97" t="s">
        <v>152</v>
      </c>
      <c r="B147" s="79">
        <v>222708</v>
      </c>
      <c r="C147" s="79">
        <v>80783.1</v>
      </c>
      <c r="D147" s="70">
        <v>2407.5</v>
      </c>
      <c r="E147" s="70">
        <v>631.5</v>
      </c>
      <c r="F147" s="70">
        <v>2153.6</v>
      </c>
      <c r="G147" s="70">
        <v>23.3</v>
      </c>
      <c r="H147" s="64">
        <v>969.1</v>
      </c>
      <c r="I147" s="70">
        <f>SUM(B147:H147)</f>
        <v>309676.0999999999</v>
      </c>
      <c r="J147" s="70">
        <v>210768.8</v>
      </c>
      <c r="K147" s="70">
        <v>15246.7</v>
      </c>
      <c r="L147" s="70">
        <f>SUM(J147:K147)</f>
        <v>226015.5</v>
      </c>
      <c r="M147" s="77" t="s">
        <v>41</v>
      </c>
      <c r="N147" s="79">
        <v>8443.4</v>
      </c>
      <c r="O147" s="79">
        <v>382067.5</v>
      </c>
      <c r="P147" s="70">
        <v>78783.3</v>
      </c>
      <c r="Q147" s="79">
        <v>4209.9</v>
      </c>
      <c r="R147" s="64">
        <f>1055.6+7861.1+4.1</f>
        <v>8920.800000000001</v>
      </c>
      <c r="S147" s="79">
        <f t="shared" si="20"/>
        <v>1018116.5</v>
      </c>
      <c r="T147" s="72"/>
    </row>
    <row r="148" spans="1:20" s="80" customFormat="1" ht="15" customHeight="1" hidden="1">
      <c r="A148" s="97" t="s">
        <v>153</v>
      </c>
      <c r="B148" s="79">
        <v>222327.4</v>
      </c>
      <c r="C148" s="79">
        <v>134377.8</v>
      </c>
      <c r="D148" s="70">
        <v>2382.2</v>
      </c>
      <c r="E148" s="70">
        <v>5301.7</v>
      </c>
      <c r="F148" s="70">
        <v>5743.4</v>
      </c>
      <c r="G148" s="70">
        <v>39.3</v>
      </c>
      <c r="H148" s="64">
        <v>174.2</v>
      </c>
      <c r="I148" s="70">
        <f>SUM(B148:H148)</f>
        <v>370346</v>
      </c>
      <c r="J148" s="70">
        <v>186852.3</v>
      </c>
      <c r="K148" s="70">
        <v>17798.6</v>
      </c>
      <c r="L148" s="70">
        <f>SUM(J148:K148)</f>
        <v>204650.9</v>
      </c>
      <c r="M148" s="77" t="s">
        <v>41</v>
      </c>
      <c r="N148" s="79">
        <v>9452.2</v>
      </c>
      <c r="O148" s="79">
        <v>380171.5</v>
      </c>
      <c r="P148" s="70">
        <v>78783.3</v>
      </c>
      <c r="Q148" s="79">
        <v>8619.5</v>
      </c>
      <c r="R148" s="64">
        <f>1157.5+7920+2.2</f>
        <v>9079.7</v>
      </c>
      <c r="S148" s="79">
        <f t="shared" si="20"/>
        <v>1061103.0999999999</v>
      </c>
      <c r="T148" s="72"/>
    </row>
    <row r="149" spans="1:20" s="80" customFormat="1" ht="15" customHeight="1" hidden="1">
      <c r="A149" s="97" t="s">
        <v>154</v>
      </c>
      <c r="B149" s="79">
        <v>219197.7</v>
      </c>
      <c r="C149" s="79">
        <v>105839.2</v>
      </c>
      <c r="D149" s="70">
        <v>1576.2</v>
      </c>
      <c r="E149" s="70">
        <v>910.9</v>
      </c>
      <c r="F149" s="70">
        <v>1671.9</v>
      </c>
      <c r="G149" s="70">
        <v>10.8</v>
      </c>
      <c r="H149" s="64">
        <v>1629</v>
      </c>
      <c r="I149" s="70">
        <f>SUM(B149:H149)</f>
        <v>330835.70000000007</v>
      </c>
      <c r="J149" s="70">
        <v>184862.5</v>
      </c>
      <c r="K149" s="70">
        <v>21913.1</v>
      </c>
      <c r="L149" s="70">
        <f>SUM(J149:K149)</f>
        <v>206775.6</v>
      </c>
      <c r="M149" s="77" t="s">
        <v>41</v>
      </c>
      <c r="N149" s="79">
        <v>9053</v>
      </c>
      <c r="O149" s="79">
        <v>376171.7</v>
      </c>
      <c r="P149" s="70">
        <v>78783.3</v>
      </c>
      <c r="Q149" s="79">
        <v>10345.2</v>
      </c>
      <c r="R149" s="64">
        <f>1071.6+7946.1+1.1</f>
        <v>9018.800000000001</v>
      </c>
      <c r="S149" s="79">
        <f t="shared" si="20"/>
        <v>1020983.3</v>
      </c>
      <c r="T149" s="72"/>
    </row>
    <row r="150" spans="1:20" s="80" customFormat="1" ht="15" customHeight="1" hidden="1">
      <c r="A150" s="97" t="s">
        <v>155</v>
      </c>
      <c r="B150" s="79">
        <v>227340.9</v>
      </c>
      <c r="C150" s="79">
        <v>120095.4</v>
      </c>
      <c r="D150" s="70">
        <v>1624.7</v>
      </c>
      <c r="E150" s="70">
        <v>1035.1</v>
      </c>
      <c r="F150" s="70">
        <v>3555.9</v>
      </c>
      <c r="G150" s="70">
        <v>22.9</v>
      </c>
      <c r="H150" s="64">
        <v>1326.1</v>
      </c>
      <c r="I150" s="70">
        <f>SUM(B150:H150)</f>
        <v>355001</v>
      </c>
      <c r="J150" s="70">
        <v>170878.6</v>
      </c>
      <c r="K150" s="70">
        <v>13593.9</v>
      </c>
      <c r="L150" s="70">
        <f>SUM(J150:K150)</f>
        <v>184472.5</v>
      </c>
      <c r="M150" s="77" t="s">
        <v>41</v>
      </c>
      <c r="N150" s="79">
        <v>9222.6</v>
      </c>
      <c r="O150" s="79">
        <v>372538.8</v>
      </c>
      <c r="P150" s="70">
        <v>82125.3</v>
      </c>
      <c r="Q150" s="79">
        <v>8152.8</v>
      </c>
      <c r="R150" s="64">
        <f>1064.1+10111.9+5977.7</f>
        <v>17153.7</v>
      </c>
      <c r="S150" s="79">
        <f t="shared" si="20"/>
        <v>1028666.7</v>
      </c>
      <c r="T150" s="72"/>
    </row>
    <row r="151" spans="1:20" s="80" customFormat="1" ht="15" customHeight="1" hidden="1">
      <c r="A151" s="97"/>
      <c r="B151" s="79"/>
      <c r="C151" s="79"/>
      <c r="D151" s="70"/>
      <c r="E151" s="70"/>
      <c r="F151" s="70"/>
      <c r="G151" s="70"/>
      <c r="H151" s="64"/>
      <c r="I151" s="70"/>
      <c r="J151" s="70"/>
      <c r="K151" s="70"/>
      <c r="L151" s="70"/>
      <c r="M151" s="77"/>
      <c r="N151" s="79"/>
      <c r="O151" s="79"/>
      <c r="P151" s="70"/>
      <c r="Q151" s="79"/>
      <c r="R151" s="64"/>
      <c r="S151" s="79"/>
      <c r="T151" s="72"/>
    </row>
    <row r="152" spans="1:20" s="80" customFormat="1" ht="15" customHeight="1" hidden="1">
      <c r="A152" s="81" t="s">
        <v>131</v>
      </c>
      <c r="B152" s="79">
        <v>221881.2</v>
      </c>
      <c r="C152" s="79">
        <v>90284</v>
      </c>
      <c r="D152" s="70">
        <v>1251.9</v>
      </c>
      <c r="E152" s="70">
        <v>1412.8</v>
      </c>
      <c r="F152" s="70">
        <v>2661.8</v>
      </c>
      <c r="G152" s="70">
        <v>11.2</v>
      </c>
      <c r="H152" s="64">
        <v>309.5</v>
      </c>
      <c r="I152" s="70">
        <f aca="true" t="shared" si="21" ref="I152:I157">SUM(B152:H152)</f>
        <v>317812.4</v>
      </c>
      <c r="J152" s="70">
        <v>183213.4</v>
      </c>
      <c r="K152" s="70">
        <v>12820.3</v>
      </c>
      <c r="L152" s="70">
        <f aca="true" t="shared" si="22" ref="L152:L157">SUM(J152:K152)</f>
        <v>196033.69999999998</v>
      </c>
      <c r="M152" s="77" t="s">
        <v>41</v>
      </c>
      <c r="N152" s="79">
        <v>10502.8</v>
      </c>
      <c r="O152" s="79">
        <v>357331.8</v>
      </c>
      <c r="P152" s="70">
        <v>82125.3</v>
      </c>
      <c r="Q152" s="79">
        <v>11229.7</v>
      </c>
      <c r="R152" s="64">
        <f>1109.7+6687.8+0.8</f>
        <v>7798.3</v>
      </c>
      <c r="S152" s="79">
        <f aca="true" t="shared" si="23" ref="S152:S163">SUM(I152,L152:O152,R152,P152,Q152)</f>
        <v>982834</v>
      </c>
      <c r="T152" s="72"/>
    </row>
    <row r="153" spans="1:20" s="80" customFormat="1" ht="15" customHeight="1" hidden="1">
      <c r="A153" s="97" t="s">
        <v>160</v>
      </c>
      <c r="B153" s="79">
        <v>223869.8</v>
      </c>
      <c r="C153" s="79">
        <v>128772</v>
      </c>
      <c r="D153" s="70">
        <v>2667.8</v>
      </c>
      <c r="E153" s="70">
        <v>1446.5</v>
      </c>
      <c r="F153" s="70">
        <v>4150.5</v>
      </c>
      <c r="G153" s="70">
        <v>29.4</v>
      </c>
      <c r="H153" s="64">
        <v>410.4</v>
      </c>
      <c r="I153" s="70">
        <f t="shared" si="21"/>
        <v>361346.4</v>
      </c>
      <c r="J153" s="70">
        <v>180351.7</v>
      </c>
      <c r="K153" s="70">
        <v>15679.5</v>
      </c>
      <c r="L153" s="70">
        <f t="shared" si="22"/>
        <v>196031.2</v>
      </c>
      <c r="M153" s="77" t="s">
        <v>41</v>
      </c>
      <c r="N153" s="79">
        <v>10301.6</v>
      </c>
      <c r="O153" s="79">
        <v>354020.7</v>
      </c>
      <c r="P153" s="70">
        <v>82192</v>
      </c>
      <c r="Q153" s="79">
        <v>10806.9</v>
      </c>
      <c r="R153" s="64">
        <f>1045.4+7527.8+1.2</f>
        <v>8574.400000000001</v>
      </c>
      <c r="S153" s="79">
        <f t="shared" si="23"/>
        <v>1023273.2000000002</v>
      </c>
      <c r="T153" s="72"/>
    </row>
    <row r="154" spans="1:20" s="80" customFormat="1" ht="15" customHeight="1" hidden="1">
      <c r="A154" s="97" t="s">
        <v>126</v>
      </c>
      <c r="B154" s="79">
        <v>223176.6</v>
      </c>
      <c r="C154" s="79">
        <v>71767.6</v>
      </c>
      <c r="D154" s="70">
        <v>1878.3</v>
      </c>
      <c r="E154" s="70">
        <v>1593.8</v>
      </c>
      <c r="F154" s="70">
        <v>4089.8</v>
      </c>
      <c r="G154" s="70">
        <v>47.4</v>
      </c>
      <c r="H154" s="64">
        <v>243.7</v>
      </c>
      <c r="I154" s="70">
        <f t="shared" si="21"/>
        <v>302797.2</v>
      </c>
      <c r="J154" s="70">
        <v>177861.5</v>
      </c>
      <c r="K154" s="70">
        <v>18845.1</v>
      </c>
      <c r="L154" s="70">
        <f t="shared" si="22"/>
        <v>196706.6</v>
      </c>
      <c r="M154" s="77" t="s">
        <v>41</v>
      </c>
      <c r="N154" s="79">
        <v>10123.6</v>
      </c>
      <c r="O154" s="79">
        <v>356984.6</v>
      </c>
      <c r="P154" s="70">
        <v>82192</v>
      </c>
      <c r="Q154" s="79">
        <v>13545.7</v>
      </c>
      <c r="R154" s="64">
        <f>1091.7+7442.4+6.9</f>
        <v>8541</v>
      </c>
      <c r="S154" s="79">
        <f t="shared" si="23"/>
        <v>970890.7</v>
      </c>
      <c r="T154" s="72"/>
    </row>
    <row r="155" spans="1:20" s="80" customFormat="1" ht="15" customHeight="1" hidden="1">
      <c r="A155" s="97" t="s">
        <v>164</v>
      </c>
      <c r="B155" s="79">
        <v>238022.8</v>
      </c>
      <c r="C155" s="79">
        <v>72697.2</v>
      </c>
      <c r="D155" s="70">
        <v>1431.1</v>
      </c>
      <c r="E155" s="70">
        <v>3120.4</v>
      </c>
      <c r="F155" s="70">
        <v>4725.5</v>
      </c>
      <c r="G155" s="70">
        <v>18.4</v>
      </c>
      <c r="H155" s="64">
        <v>403.8</v>
      </c>
      <c r="I155" s="70">
        <f t="shared" si="21"/>
        <v>320419.2</v>
      </c>
      <c r="J155" s="70">
        <v>182040</v>
      </c>
      <c r="K155" s="70">
        <v>16782.1</v>
      </c>
      <c r="L155" s="70">
        <f t="shared" si="22"/>
        <v>198822.1</v>
      </c>
      <c r="M155" s="77" t="s">
        <v>41</v>
      </c>
      <c r="N155" s="79">
        <v>9306.4</v>
      </c>
      <c r="O155" s="79">
        <v>360084.5</v>
      </c>
      <c r="P155" s="70">
        <v>87845.1</v>
      </c>
      <c r="Q155" s="79">
        <v>5028.9</v>
      </c>
      <c r="R155" s="64">
        <f>1124.5+8498.8+5.4</f>
        <v>9628.699999999999</v>
      </c>
      <c r="S155" s="79">
        <f t="shared" si="23"/>
        <v>991134.9</v>
      </c>
      <c r="T155" s="72"/>
    </row>
    <row r="156" spans="1:20" s="80" customFormat="1" ht="15" customHeight="1" hidden="1">
      <c r="A156" s="97" t="s">
        <v>166</v>
      </c>
      <c r="B156" s="79">
        <v>248023.4</v>
      </c>
      <c r="C156" s="79">
        <v>69415.7</v>
      </c>
      <c r="D156" s="70">
        <v>1979.6</v>
      </c>
      <c r="E156" s="70">
        <v>6610</v>
      </c>
      <c r="F156" s="70">
        <v>5097.9</v>
      </c>
      <c r="G156" s="70">
        <v>48</v>
      </c>
      <c r="H156" s="64">
        <v>588.3</v>
      </c>
      <c r="I156" s="70">
        <f t="shared" si="21"/>
        <v>331762.89999999997</v>
      </c>
      <c r="J156" s="70">
        <v>187762.3</v>
      </c>
      <c r="K156" s="70">
        <v>18121.8</v>
      </c>
      <c r="L156" s="70">
        <f t="shared" si="22"/>
        <v>205884.09999999998</v>
      </c>
      <c r="M156" s="77" t="s">
        <v>41</v>
      </c>
      <c r="N156" s="79">
        <v>8857.5</v>
      </c>
      <c r="O156" s="79">
        <v>356222.3</v>
      </c>
      <c r="P156" s="70">
        <v>87845.1</v>
      </c>
      <c r="Q156" s="79">
        <v>7161.4</v>
      </c>
      <c r="R156" s="64">
        <f>1125+7914.2-0.9</f>
        <v>9038.300000000001</v>
      </c>
      <c r="S156" s="79">
        <f t="shared" si="23"/>
        <v>1006771.6000000001</v>
      </c>
      <c r="T156" s="72"/>
    </row>
    <row r="157" spans="1:20" s="80" customFormat="1" ht="15" customHeight="1" hidden="1">
      <c r="A157" s="97" t="s">
        <v>171</v>
      </c>
      <c r="B157" s="79">
        <v>254961.4</v>
      </c>
      <c r="C157" s="79">
        <v>63611.8</v>
      </c>
      <c r="D157" s="70">
        <v>2089.9</v>
      </c>
      <c r="E157" s="70">
        <v>9771.3</v>
      </c>
      <c r="F157" s="70">
        <v>3640.6</v>
      </c>
      <c r="G157" s="70">
        <v>62.4</v>
      </c>
      <c r="H157" s="64">
        <v>357.5</v>
      </c>
      <c r="I157" s="70">
        <f t="shared" si="21"/>
        <v>334494.9</v>
      </c>
      <c r="J157" s="70">
        <v>170313</v>
      </c>
      <c r="K157" s="70">
        <v>15899.1</v>
      </c>
      <c r="L157" s="70">
        <f t="shared" si="22"/>
        <v>186212.1</v>
      </c>
      <c r="M157" s="77" t="s">
        <v>41</v>
      </c>
      <c r="N157" s="79">
        <v>1293.3</v>
      </c>
      <c r="O157" s="79">
        <v>361289.7</v>
      </c>
      <c r="P157" s="70">
        <v>87845.1</v>
      </c>
      <c r="Q157" s="79">
        <v>5626.8</v>
      </c>
      <c r="R157" s="64">
        <f>1101.1+7274.1+6.3</f>
        <v>8381.5</v>
      </c>
      <c r="S157" s="79">
        <f t="shared" si="23"/>
        <v>985143.4</v>
      </c>
      <c r="T157" s="72"/>
    </row>
    <row r="158" spans="1:20" s="80" customFormat="1" ht="15" customHeight="1" hidden="1">
      <c r="A158" s="97" t="s">
        <v>173</v>
      </c>
      <c r="B158" s="79">
        <v>238905.2</v>
      </c>
      <c r="C158" s="79">
        <v>80850</v>
      </c>
      <c r="D158" s="70">
        <v>1992.3</v>
      </c>
      <c r="E158" s="70">
        <v>2711.7</v>
      </c>
      <c r="F158" s="70">
        <v>2932.2</v>
      </c>
      <c r="G158" s="70">
        <v>59.3</v>
      </c>
      <c r="H158" s="64">
        <v>428</v>
      </c>
      <c r="I158" s="70">
        <f aca="true" t="shared" si="24" ref="I158:I163">SUM(B158:H158)</f>
        <v>327878.7</v>
      </c>
      <c r="J158" s="70">
        <v>149713.7</v>
      </c>
      <c r="K158" s="70">
        <v>14670.5</v>
      </c>
      <c r="L158" s="70">
        <f aca="true" t="shared" si="25" ref="L158:L163">SUM(J158:K158)</f>
        <v>164384.2</v>
      </c>
      <c r="M158" s="77" t="s">
        <v>41</v>
      </c>
      <c r="N158" s="79">
        <v>1675.7</v>
      </c>
      <c r="O158" s="79">
        <v>356249.3</v>
      </c>
      <c r="P158" s="70">
        <v>87845.1</v>
      </c>
      <c r="Q158" s="79">
        <v>3574.2</v>
      </c>
      <c r="R158" s="64">
        <f>1220.4+7961.3+10.4</f>
        <v>9192.1</v>
      </c>
      <c r="S158" s="79">
        <f t="shared" si="23"/>
        <v>950799.2999999999</v>
      </c>
      <c r="T158" s="72"/>
    </row>
    <row r="159" spans="1:20" s="80" customFormat="1" ht="15" customHeight="1" hidden="1">
      <c r="A159" s="97" t="s">
        <v>175</v>
      </c>
      <c r="B159" s="79">
        <v>230953.7</v>
      </c>
      <c r="C159" s="79">
        <v>89861</v>
      </c>
      <c r="D159" s="70">
        <v>3013.9</v>
      </c>
      <c r="E159" s="70">
        <v>3048.9</v>
      </c>
      <c r="F159" s="70">
        <v>1505.9</v>
      </c>
      <c r="G159" s="70">
        <v>18.2</v>
      </c>
      <c r="H159" s="64">
        <v>333.6</v>
      </c>
      <c r="I159" s="70">
        <f t="shared" si="24"/>
        <v>328735.20000000007</v>
      </c>
      <c r="J159" s="70">
        <v>143623.2</v>
      </c>
      <c r="K159" s="70">
        <v>22600.6</v>
      </c>
      <c r="L159" s="70">
        <f t="shared" si="25"/>
        <v>166223.80000000002</v>
      </c>
      <c r="M159" s="77" t="s">
        <v>41</v>
      </c>
      <c r="N159" s="79">
        <v>1816.6</v>
      </c>
      <c r="O159" s="79">
        <v>355556.2</v>
      </c>
      <c r="P159" s="70">
        <v>87845.1</v>
      </c>
      <c r="Q159" s="79">
        <v>2386.1</v>
      </c>
      <c r="R159" s="64">
        <f>1256+7135.8+3.3</f>
        <v>8395.099999999999</v>
      </c>
      <c r="S159" s="79">
        <f t="shared" si="23"/>
        <v>950958.1</v>
      </c>
      <c r="T159" s="72"/>
    </row>
    <row r="160" spans="1:20" s="80" customFormat="1" ht="15" customHeight="1" hidden="1">
      <c r="A160" s="97" t="s">
        <v>129</v>
      </c>
      <c r="B160" s="79">
        <v>216072.1</v>
      </c>
      <c r="C160" s="79">
        <v>79716.8</v>
      </c>
      <c r="D160" s="70">
        <v>3810.3</v>
      </c>
      <c r="E160" s="70">
        <v>5700.2</v>
      </c>
      <c r="F160" s="70">
        <v>8658</v>
      </c>
      <c r="G160" s="70">
        <v>33.1</v>
      </c>
      <c r="H160" s="64">
        <v>323.5</v>
      </c>
      <c r="I160" s="70">
        <f t="shared" si="24"/>
        <v>314314</v>
      </c>
      <c r="J160" s="70">
        <v>160628.9</v>
      </c>
      <c r="K160" s="70">
        <v>19205.5</v>
      </c>
      <c r="L160" s="70">
        <f t="shared" si="25"/>
        <v>179834.4</v>
      </c>
      <c r="M160" s="77" t="s">
        <v>41</v>
      </c>
      <c r="N160" s="79">
        <v>1252.3</v>
      </c>
      <c r="O160" s="79">
        <v>351304.8</v>
      </c>
      <c r="P160" s="70">
        <v>87845.1</v>
      </c>
      <c r="Q160" s="79">
        <v>643.9</v>
      </c>
      <c r="R160" s="64">
        <f>1274.9+6928.9+5.2</f>
        <v>8209</v>
      </c>
      <c r="S160" s="79">
        <f t="shared" si="23"/>
        <v>943403.5</v>
      </c>
      <c r="T160" s="72"/>
    </row>
    <row r="161" spans="1:20" s="80" customFormat="1" ht="15" customHeight="1" hidden="1">
      <c r="A161" s="97" t="s">
        <v>178</v>
      </c>
      <c r="B161" s="79">
        <v>225234.3</v>
      </c>
      <c r="C161" s="79">
        <v>112668.5</v>
      </c>
      <c r="D161" s="70">
        <v>2770.6</v>
      </c>
      <c r="E161" s="70">
        <v>6435.6</v>
      </c>
      <c r="F161" s="70">
        <v>6415.9</v>
      </c>
      <c r="G161" s="70">
        <v>25.1</v>
      </c>
      <c r="H161" s="64">
        <v>463.8</v>
      </c>
      <c r="I161" s="70">
        <f t="shared" si="24"/>
        <v>354013.79999999993</v>
      </c>
      <c r="J161" s="70">
        <v>149259.9</v>
      </c>
      <c r="K161" s="70">
        <v>22784.4</v>
      </c>
      <c r="L161" s="70">
        <f t="shared" si="25"/>
        <v>172044.3</v>
      </c>
      <c r="M161" s="77" t="s">
        <v>41</v>
      </c>
      <c r="N161" s="79">
        <v>2211.8</v>
      </c>
      <c r="O161" s="79">
        <v>349041.3</v>
      </c>
      <c r="P161" s="70">
        <v>87845.1</v>
      </c>
      <c r="Q161" s="79">
        <v>6204.2</v>
      </c>
      <c r="R161" s="64">
        <f>1234.8+6347.4+3.4</f>
        <v>7585.599999999999</v>
      </c>
      <c r="S161" s="79">
        <f t="shared" si="23"/>
        <v>978946.0999999999</v>
      </c>
      <c r="T161" s="72"/>
    </row>
    <row r="162" spans="1:20" s="80" customFormat="1" ht="15" customHeight="1" hidden="1">
      <c r="A162" s="97" t="s">
        <v>181</v>
      </c>
      <c r="B162" s="79">
        <v>221763.4</v>
      </c>
      <c r="C162" s="79">
        <v>89671.1</v>
      </c>
      <c r="D162" s="70">
        <v>2847.7</v>
      </c>
      <c r="E162" s="70">
        <v>835</v>
      </c>
      <c r="F162" s="70">
        <v>4746.9</v>
      </c>
      <c r="G162" s="70">
        <v>22</v>
      </c>
      <c r="H162" s="64">
        <v>870.5</v>
      </c>
      <c r="I162" s="70">
        <f t="shared" si="24"/>
        <v>320756.60000000003</v>
      </c>
      <c r="J162" s="70">
        <v>147265.6</v>
      </c>
      <c r="K162" s="70">
        <v>24715</v>
      </c>
      <c r="L162" s="70">
        <f t="shared" si="25"/>
        <v>171980.6</v>
      </c>
      <c r="M162" s="77" t="s">
        <v>41</v>
      </c>
      <c r="N162" s="79">
        <v>3556.8</v>
      </c>
      <c r="O162" s="79">
        <v>350334.2</v>
      </c>
      <c r="P162" s="70">
        <v>87845.1</v>
      </c>
      <c r="Q162" s="79">
        <v>6887.1</v>
      </c>
      <c r="R162" s="64">
        <f>1411.3+6797.6+13.4</f>
        <v>8222.3</v>
      </c>
      <c r="S162" s="79">
        <f t="shared" si="23"/>
        <v>949582.7000000001</v>
      </c>
      <c r="T162" s="72"/>
    </row>
    <row r="163" spans="1:20" s="80" customFormat="1" ht="15" customHeight="1" hidden="1">
      <c r="A163" s="97" t="s">
        <v>182</v>
      </c>
      <c r="B163" s="79">
        <v>230723.7</v>
      </c>
      <c r="C163" s="79">
        <v>84351</v>
      </c>
      <c r="D163" s="70">
        <v>2209.5</v>
      </c>
      <c r="E163" s="70">
        <v>1611</v>
      </c>
      <c r="F163" s="70">
        <v>4368.5</v>
      </c>
      <c r="G163" s="70">
        <v>44.5</v>
      </c>
      <c r="H163" s="64">
        <v>1200</v>
      </c>
      <c r="I163" s="70">
        <f t="shared" si="24"/>
        <v>324508.2</v>
      </c>
      <c r="J163" s="70">
        <v>171839.3</v>
      </c>
      <c r="K163" s="70">
        <v>17303.7</v>
      </c>
      <c r="L163" s="70">
        <f t="shared" si="25"/>
        <v>189143</v>
      </c>
      <c r="M163" s="77" t="s">
        <v>41</v>
      </c>
      <c r="N163" s="79">
        <v>5645.1</v>
      </c>
      <c r="O163" s="79">
        <v>354815.2</v>
      </c>
      <c r="P163" s="70">
        <v>87845.1</v>
      </c>
      <c r="Q163" s="79">
        <v>1265</v>
      </c>
      <c r="R163" s="64">
        <f>1187.7+6374.8+2.4</f>
        <v>7564.9</v>
      </c>
      <c r="S163" s="79">
        <f t="shared" si="23"/>
        <v>970786.5</v>
      </c>
      <c r="T163" s="72"/>
    </row>
    <row r="164" spans="1:20" s="80" customFormat="1" ht="15" customHeight="1" hidden="1">
      <c r="A164" s="97"/>
      <c r="B164" s="79"/>
      <c r="C164" s="79"/>
      <c r="D164" s="70"/>
      <c r="E164" s="70"/>
      <c r="F164" s="70"/>
      <c r="G164" s="70"/>
      <c r="H164" s="64"/>
      <c r="I164" s="70"/>
      <c r="J164" s="70"/>
      <c r="K164" s="70"/>
      <c r="L164" s="70"/>
      <c r="M164" s="77"/>
      <c r="N164" s="79"/>
      <c r="O164" s="79"/>
      <c r="P164" s="70"/>
      <c r="Q164" s="79"/>
      <c r="R164" s="64"/>
      <c r="S164" s="79"/>
      <c r="T164" s="72"/>
    </row>
    <row r="165" spans="1:20" s="80" customFormat="1" ht="15" customHeight="1" hidden="1">
      <c r="A165" s="81" t="s">
        <v>142</v>
      </c>
      <c r="B165" s="79">
        <v>226455.9</v>
      </c>
      <c r="C165" s="79">
        <v>97415.5</v>
      </c>
      <c r="D165" s="70">
        <v>1524.2</v>
      </c>
      <c r="E165" s="70">
        <v>1365.4</v>
      </c>
      <c r="F165" s="70">
        <v>2402.5</v>
      </c>
      <c r="G165" s="70">
        <v>52.7</v>
      </c>
      <c r="H165" s="64">
        <v>588.7</v>
      </c>
      <c r="I165" s="70">
        <f aca="true" t="shared" si="26" ref="I165:I176">SUM(B165:H165)</f>
        <v>329804.9000000001</v>
      </c>
      <c r="J165" s="70">
        <v>140739.1</v>
      </c>
      <c r="K165" s="70">
        <v>16982.3</v>
      </c>
      <c r="L165" s="70">
        <f aca="true" t="shared" si="27" ref="L165:L176">SUM(J165:K165)</f>
        <v>157721.4</v>
      </c>
      <c r="M165" s="77" t="s">
        <v>41</v>
      </c>
      <c r="N165" s="79">
        <v>5990</v>
      </c>
      <c r="O165" s="79">
        <v>351129.1</v>
      </c>
      <c r="P165" s="70">
        <v>87845.1</v>
      </c>
      <c r="Q165" s="79">
        <v>545.6</v>
      </c>
      <c r="R165" s="64">
        <f>1258.3+6257+6.2</f>
        <v>7521.5</v>
      </c>
      <c r="S165" s="79">
        <f aca="true" t="shared" si="28" ref="S165:S176">SUM(I165,L165:O165,R165,P165,Q165)</f>
        <v>940557.6</v>
      </c>
      <c r="T165" s="72"/>
    </row>
    <row r="166" spans="1:20" s="80" customFormat="1" ht="15" customHeight="1">
      <c r="A166" s="97" t="s">
        <v>185</v>
      </c>
      <c r="B166" s="79">
        <v>228222</v>
      </c>
      <c r="C166" s="79">
        <v>82311.3</v>
      </c>
      <c r="D166" s="70">
        <v>2882.1</v>
      </c>
      <c r="E166" s="70">
        <v>10313.2</v>
      </c>
      <c r="F166" s="70">
        <v>9164.2</v>
      </c>
      <c r="G166" s="70">
        <v>6.9</v>
      </c>
      <c r="H166" s="64">
        <v>948.2</v>
      </c>
      <c r="I166" s="70">
        <f t="shared" si="26"/>
        <v>333847.9</v>
      </c>
      <c r="J166" s="70">
        <v>141698.8</v>
      </c>
      <c r="K166" s="70">
        <v>16637.3</v>
      </c>
      <c r="L166" s="70">
        <f t="shared" si="27"/>
        <v>158336.09999999998</v>
      </c>
      <c r="M166" s="77" t="s">
        <v>41</v>
      </c>
      <c r="N166" s="79">
        <v>6827.1</v>
      </c>
      <c r="O166" s="79">
        <v>344743.7</v>
      </c>
      <c r="P166" s="70">
        <v>87845.1</v>
      </c>
      <c r="Q166" s="79">
        <v>-398.2</v>
      </c>
      <c r="R166" s="64">
        <f>1188.5+5968.6+4.9</f>
        <v>7162</v>
      </c>
      <c r="S166" s="79">
        <f t="shared" si="28"/>
        <v>938363.7000000001</v>
      </c>
      <c r="T166" s="72"/>
    </row>
    <row r="167" spans="1:20" s="80" customFormat="1" ht="15" customHeight="1">
      <c r="A167" s="97" t="s">
        <v>162</v>
      </c>
      <c r="B167" s="79">
        <v>219964.2</v>
      </c>
      <c r="C167" s="79">
        <v>94301.6</v>
      </c>
      <c r="D167" s="70">
        <v>2734.9</v>
      </c>
      <c r="E167" s="70">
        <v>2510.7</v>
      </c>
      <c r="F167" s="70">
        <v>2813.9</v>
      </c>
      <c r="G167" s="70">
        <v>26.4</v>
      </c>
      <c r="H167" s="64">
        <v>910.3</v>
      </c>
      <c r="I167" s="70">
        <f t="shared" si="26"/>
        <v>323262.0000000001</v>
      </c>
      <c r="J167" s="70">
        <v>165597.4</v>
      </c>
      <c r="K167" s="70">
        <v>16333.1</v>
      </c>
      <c r="L167" s="70">
        <f t="shared" si="27"/>
        <v>181930.5</v>
      </c>
      <c r="M167" s="77" t="s">
        <v>41</v>
      </c>
      <c r="N167" s="79">
        <v>5204</v>
      </c>
      <c r="O167" s="79">
        <v>350173.8</v>
      </c>
      <c r="P167" s="70">
        <v>87845.1</v>
      </c>
      <c r="Q167" s="79">
        <v>-3581.8</v>
      </c>
      <c r="R167" s="64">
        <f>1206.1+6336.3+3.2</f>
        <v>7545.599999999999</v>
      </c>
      <c r="S167" s="79">
        <f t="shared" si="28"/>
        <v>952379.2</v>
      </c>
      <c r="T167" s="72"/>
    </row>
    <row r="168" spans="1:20" s="80" customFormat="1" ht="15" customHeight="1">
      <c r="A168" s="97" t="s">
        <v>163</v>
      </c>
      <c r="B168" s="79">
        <v>230212</v>
      </c>
      <c r="C168" s="79">
        <v>112572.5</v>
      </c>
      <c r="D168" s="70">
        <v>1956.8</v>
      </c>
      <c r="E168" s="70">
        <v>1361.9</v>
      </c>
      <c r="F168" s="70">
        <v>3187.7</v>
      </c>
      <c r="G168" s="70">
        <v>15.2</v>
      </c>
      <c r="H168" s="64">
        <v>438.4</v>
      </c>
      <c r="I168" s="70">
        <f t="shared" si="26"/>
        <v>349744.50000000006</v>
      </c>
      <c r="J168" s="70">
        <v>163066.1</v>
      </c>
      <c r="K168" s="70">
        <v>21294.8</v>
      </c>
      <c r="L168" s="70">
        <f t="shared" si="27"/>
        <v>184360.9</v>
      </c>
      <c r="M168" s="110" t="s">
        <v>41</v>
      </c>
      <c r="N168" s="79">
        <v>5204</v>
      </c>
      <c r="O168" s="79">
        <v>355049.6</v>
      </c>
      <c r="P168" s="70">
        <v>87845.1</v>
      </c>
      <c r="Q168" s="79">
        <v>-7259.2</v>
      </c>
      <c r="R168" s="64">
        <v>7610.3</v>
      </c>
      <c r="S168" s="79">
        <f t="shared" si="28"/>
        <v>982555.2000000001</v>
      </c>
      <c r="T168" s="72"/>
    </row>
    <row r="169" spans="1:20" s="80" customFormat="1" ht="15" customHeight="1">
      <c r="A169" s="97" t="s">
        <v>165</v>
      </c>
      <c r="B169" s="79">
        <v>230195.9</v>
      </c>
      <c r="C169" s="79">
        <v>105627.9</v>
      </c>
      <c r="D169" s="70">
        <v>2568.2</v>
      </c>
      <c r="E169" s="70">
        <v>7539.1</v>
      </c>
      <c r="F169" s="70">
        <v>7710.2</v>
      </c>
      <c r="G169" s="70">
        <v>37.6</v>
      </c>
      <c r="H169" s="64">
        <v>798.3</v>
      </c>
      <c r="I169" s="70">
        <f t="shared" si="26"/>
        <v>354477.19999999995</v>
      </c>
      <c r="J169" s="70">
        <v>162441.3</v>
      </c>
      <c r="K169" s="70">
        <v>18544.9</v>
      </c>
      <c r="L169" s="70">
        <f t="shared" si="27"/>
        <v>180986.19999999998</v>
      </c>
      <c r="M169" s="110" t="s">
        <v>41</v>
      </c>
      <c r="N169" s="79">
        <v>6494.3</v>
      </c>
      <c r="O169" s="79">
        <v>352456.3</v>
      </c>
      <c r="P169" s="70">
        <v>87845.1</v>
      </c>
      <c r="Q169" s="79">
        <v>-5109.2</v>
      </c>
      <c r="R169" s="64">
        <f>1955.5+6113.6+35</f>
        <v>8104.1</v>
      </c>
      <c r="S169" s="79">
        <f t="shared" si="28"/>
        <v>985254</v>
      </c>
      <c r="T169" s="72"/>
    </row>
    <row r="170" spans="1:20" s="80" customFormat="1" ht="15" customHeight="1">
      <c r="A170" s="97" t="s">
        <v>186</v>
      </c>
      <c r="B170" s="79">
        <v>255415.5</v>
      </c>
      <c r="C170" s="79">
        <v>98845.3</v>
      </c>
      <c r="D170" s="70">
        <v>1740</v>
      </c>
      <c r="E170" s="70">
        <v>3186.6</v>
      </c>
      <c r="F170" s="70">
        <v>4307.5</v>
      </c>
      <c r="G170" s="70">
        <v>16.1</v>
      </c>
      <c r="H170" s="64">
        <v>557.9</v>
      </c>
      <c r="I170" s="70">
        <f t="shared" si="26"/>
        <v>364068.89999999997</v>
      </c>
      <c r="J170" s="70">
        <v>168849</v>
      </c>
      <c r="K170" s="70">
        <v>24468.2</v>
      </c>
      <c r="L170" s="70">
        <f t="shared" si="27"/>
        <v>193317.2</v>
      </c>
      <c r="M170" s="110" t="s">
        <v>41</v>
      </c>
      <c r="N170" s="79">
        <v>5535.4</v>
      </c>
      <c r="O170" s="79">
        <v>351838.8</v>
      </c>
      <c r="P170" s="70">
        <v>87845.1</v>
      </c>
      <c r="Q170" s="79">
        <v>-2252.6</v>
      </c>
      <c r="R170" s="64">
        <f>1938.5+6025.6+20.7</f>
        <v>7984.8</v>
      </c>
      <c r="S170" s="79">
        <f t="shared" si="28"/>
        <v>1008337.6000000001</v>
      </c>
      <c r="T170" s="72"/>
    </row>
    <row r="171" spans="1:20" s="80" customFormat="1" ht="15" customHeight="1">
      <c r="A171" s="97" t="s">
        <v>187</v>
      </c>
      <c r="B171" s="79">
        <v>265902.6</v>
      </c>
      <c r="C171" s="79">
        <v>101091.2</v>
      </c>
      <c r="D171" s="70">
        <v>2646.6</v>
      </c>
      <c r="E171" s="70">
        <v>6715.9</v>
      </c>
      <c r="F171" s="70">
        <v>5193.3</v>
      </c>
      <c r="G171" s="70">
        <v>8.4</v>
      </c>
      <c r="H171" s="64">
        <v>772.4</v>
      </c>
      <c r="I171" s="70">
        <f t="shared" si="26"/>
        <v>382330.4</v>
      </c>
      <c r="J171" s="70">
        <v>160363.6</v>
      </c>
      <c r="K171" s="70">
        <v>21791.6</v>
      </c>
      <c r="L171" s="70">
        <f t="shared" si="27"/>
        <v>182155.2</v>
      </c>
      <c r="M171" s="110" t="s">
        <v>41</v>
      </c>
      <c r="N171" s="79">
        <v>4201.4</v>
      </c>
      <c r="O171" s="79">
        <v>346787.6</v>
      </c>
      <c r="P171" s="70">
        <v>87845.1</v>
      </c>
      <c r="Q171" s="79">
        <v>-1465.7</v>
      </c>
      <c r="R171" s="64">
        <f>1168.8+6628.3+40.1</f>
        <v>7837.200000000001</v>
      </c>
      <c r="S171" s="79">
        <f t="shared" si="28"/>
        <v>1009691.2000000001</v>
      </c>
      <c r="T171" s="72"/>
    </row>
    <row r="172" spans="1:20" s="80" customFormat="1" ht="15" customHeight="1">
      <c r="A172" s="97" t="s">
        <v>188</v>
      </c>
      <c r="B172" s="79">
        <v>259211.2</v>
      </c>
      <c r="C172" s="79">
        <v>96485.6</v>
      </c>
      <c r="D172" s="70">
        <v>3581.1</v>
      </c>
      <c r="E172" s="70">
        <v>678.2</v>
      </c>
      <c r="F172" s="70">
        <v>4709.8</v>
      </c>
      <c r="G172" s="70">
        <v>5.4</v>
      </c>
      <c r="H172" s="64">
        <v>2762.9</v>
      </c>
      <c r="I172" s="70">
        <f t="shared" si="26"/>
        <v>367434.20000000007</v>
      </c>
      <c r="J172" s="70">
        <v>159090.8</v>
      </c>
      <c r="K172" s="70">
        <v>13209.3</v>
      </c>
      <c r="L172" s="70">
        <f t="shared" si="27"/>
        <v>172300.09999999998</v>
      </c>
      <c r="M172" s="110" t="s">
        <v>41</v>
      </c>
      <c r="N172" s="79">
        <v>4932.5</v>
      </c>
      <c r="O172" s="79">
        <v>340352.3</v>
      </c>
      <c r="P172" s="70">
        <v>88281.6</v>
      </c>
      <c r="Q172" s="79">
        <v>-2656.6</v>
      </c>
      <c r="R172" s="64">
        <f>6114.2+15.1+1235.7</f>
        <v>7365</v>
      </c>
      <c r="S172" s="79">
        <f t="shared" si="28"/>
        <v>978009.1000000001</v>
      </c>
      <c r="T172" s="72"/>
    </row>
    <row r="173" spans="1:20" s="80" customFormat="1" ht="15" customHeight="1">
      <c r="A173" s="97" t="s">
        <v>189</v>
      </c>
      <c r="B173" s="79">
        <v>254499.1</v>
      </c>
      <c r="C173" s="79">
        <v>124775.9</v>
      </c>
      <c r="D173" s="70">
        <v>3523.6</v>
      </c>
      <c r="E173" s="70">
        <v>834</v>
      </c>
      <c r="F173" s="70">
        <v>4926.1</v>
      </c>
      <c r="G173" s="70">
        <v>3.6</v>
      </c>
      <c r="H173" s="64">
        <v>1138.3</v>
      </c>
      <c r="I173" s="70">
        <f t="shared" si="26"/>
        <v>389700.5999999999</v>
      </c>
      <c r="J173" s="70">
        <v>165324.8</v>
      </c>
      <c r="K173" s="70">
        <v>21183.6</v>
      </c>
      <c r="L173" s="70">
        <f t="shared" si="27"/>
        <v>186508.4</v>
      </c>
      <c r="M173" s="110" t="s">
        <v>41</v>
      </c>
      <c r="N173" s="79">
        <v>5791.3</v>
      </c>
      <c r="O173" s="79">
        <v>338994.5</v>
      </c>
      <c r="P173" s="70">
        <v>88281.7</v>
      </c>
      <c r="Q173" s="79">
        <v>-5027.8</v>
      </c>
      <c r="R173" s="64">
        <f>5752+8.1+1393.1</f>
        <v>7153.200000000001</v>
      </c>
      <c r="S173" s="79">
        <f t="shared" si="28"/>
        <v>1011401.8999999998</v>
      </c>
      <c r="T173" s="72"/>
    </row>
    <row r="174" spans="1:20" s="80" customFormat="1" ht="15" customHeight="1">
      <c r="A174" s="97" t="s">
        <v>190</v>
      </c>
      <c r="B174" s="79">
        <v>254519.8</v>
      </c>
      <c r="C174" s="79">
        <v>112931.8</v>
      </c>
      <c r="D174" s="70">
        <v>3149.6</v>
      </c>
      <c r="E174" s="70">
        <v>1498.7</v>
      </c>
      <c r="F174" s="70">
        <v>3531.1</v>
      </c>
      <c r="G174" s="70">
        <v>5.2</v>
      </c>
      <c r="H174" s="64">
        <v>1875</v>
      </c>
      <c r="I174" s="70">
        <f t="shared" si="26"/>
        <v>377511.19999999995</v>
      </c>
      <c r="J174" s="70">
        <v>175018.1</v>
      </c>
      <c r="K174" s="70">
        <v>15080.7</v>
      </c>
      <c r="L174" s="70">
        <f t="shared" si="27"/>
        <v>190098.80000000002</v>
      </c>
      <c r="M174" s="110" t="s">
        <v>41</v>
      </c>
      <c r="N174" s="79">
        <v>7752</v>
      </c>
      <c r="O174" s="79">
        <v>336106.5</v>
      </c>
      <c r="P174" s="70">
        <v>88281.6</v>
      </c>
      <c r="Q174" s="79">
        <v>-148.2</v>
      </c>
      <c r="R174" s="64">
        <f>5886.8+8.1+1388.8</f>
        <v>7283.700000000001</v>
      </c>
      <c r="S174" s="79">
        <f t="shared" si="28"/>
        <v>1006885.6</v>
      </c>
      <c r="T174" s="72"/>
    </row>
    <row r="175" spans="1:20" s="80" customFormat="1" ht="15" customHeight="1">
      <c r="A175" s="97" t="s">
        <v>191</v>
      </c>
      <c r="B175" s="79">
        <v>255283.4</v>
      </c>
      <c r="C175" s="79">
        <v>125278.8</v>
      </c>
      <c r="D175" s="70">
        <v>2943.8</v>
      </c>
      <c r="E175" s="70">
        <v>8178.4</v>
      </c>
      <c r="F175" s="70">
        <v>9000.1</v>
      </c>
      <c r="G175" s="70">
        <v>3.2</v>
      </c>
      <c r="H175" s="64">
        <v>1378.3</v>
      </c>
      <c r="I175" s="70">
        <f t="shared" si="26"/>
        <v>402066</v>
      </c>
      <c r="J175" s="70">
        <v>180613.8</v>
      </c>
      <c r="K175" s="70">
        <v>13791.1</v>
      </c>
      <c r="L175" s="70">
        <f t="shared" si="27"/>
        <v>194404.9</v>
      </c>
      <c r="M175" s="110" t="s">
        <v>41</v>
      </c>
      <c r="N175" s="79">
        <v>10573.9</v>
      </c>
      <c r="O175" s="79">
        <v>330545.8</v>
      </c>
      <c r="P175" s="70">
        <v>88281.6</v>
      </c>
      <c r="Q175" s="79">
        <v>4929</v>
      </c>
      <c r="R175" s="64">
        <f>9209.8+3.1+1507.9</f>
        <v>10720.8</v>
      </c>
      <c r="S175" s="79">
        <f t="shared" si="28"/>
        <v>1041522.0000000001</v>
      </c>
      <c r="T175" s="72"/>
    </row>
    <row r="176" spans="1:20" s="80" customFormat="1" ht="15" customHeight="1">
      <c r="A176" s="97" t="s">
        <v>192</v>
      </c>
      <c r="B176" s="79">
        <v>267512.5</v>
      </c>
      <c r="C176" s="79">
        <v>134302.8</v>
      </c>
      <c r="D176" s="70">
        <v>3575.7</v>
      </c>
      <c r="E176" s="70">
        <v>5995.8</v>
      </c>
      <c r="F176" s="70">
        <v>6509.8</v>
      </c>
      <c r="G176" s="70">
        <v>7.7</v>
      </c>
      <c r="H176" s="64">
        <v>1319.7</v>
      </c>
      <c r="I176" s="70">
        <f t="shared" si="26"/>
        <v>419224</v>
      </c>
      <c r="J176" s="70">
        <v>229057.5</v>
      </c>
      <c r="K176" s="70">
        <v>14016.1</v>
      </c>
      <c r="L176" s="70">
        <f t="shared" si="27"/>
        <v>243073.6</v>
      </c>
      <c r="M176" s="110" t="s">
        <v>41</v>
      </c>
      <c r="N176" s="79">
        <v>12385</v>
      </c>
      <c r="O176" s="79">
        <v>328508.5</v>
      </c>
      <c r="P176" s="70">
        <v>88281.6</v>
      </c>
      <c r="Q176" s="79">
        <v>5702.3</v>
      </c>
      <c r="R176" s="64">
        <f>8800+6.7+1350.6</f>
        <v>10157.300000000001</v>
      </c>
      <c r="S176" s="79">
        <f t="shared" si="28"/>
        <v>1107332.3</v>
      </c>
      <c r="T176" s="72"/>
    </row>
    <row r="177" spans="1:20" s="80" customFormat="1" ht="15" customHeight="1">
      <c r="A177" s="97"/>
      <c r="B177" s="79"/>
      <c r="C177" s="79"/>
      <c r="D177" s="70"/>
      <c r="E177" s="70"/>
      <c r="F177" s="70"/>
      <c r="G177" s="70"/>
      <c r="H177" s="64"/>
      <c r="I177" s="70"/>
      <c r="J177" s="70"/>
      <c r="K177" s="70"/>
      <c r="L177" s="70"/>
      <c r="M177" s="110"/>
      <c r="N177" s="79"/>
      <c r="O177" s="79"/>
      <c r="P177" s="70"/>
      <c r="Q177" s="79"/>
      <c r="R177" s="64"/>
      <c r="S177" s="79"/>
      <c r="T177" s="72"/>
    </row>
    <row r="178" spans="1:20" s="80" customFormat="1" ht="15" customHeight="1">
      <c r="A178" s="97" t="s">
        <v>158</v>
      </c>
      <c r="B178" s="79">
        <v>257413.7</v>
      </c>
      <c r="C178" s="79">
        <v>190039</v>
      </c>
      <c r="D178" s="70">
        <v>2479</v>
      </c>
      <c r="E178" s="70">
        <v>5009.2</v>
      </c>
      <c r="F178" s="70">
        <v>5833.8</v>
      </c>
      <c r="G178" s="70">
        <v>2.2</v>
      </c>
      <c r="H178" s="64">
        <v>22330.5</v>
      </c>
      <c r="I178" s="70">
        <f>SUM(B178:H178)</f>
        <v>483107.4</v>
      </c>
      <c r="J178" s="70">
        <v>170874</v>
      </c>
      <c r="K178" s="70">
        <v>19271</v>
      </c>
      <c r="L178" s="70">
        <f aca="true" t="shared" si="29" ref="L178:L192">SUM(J178:K178)</f>
        <v>190145</v>
      </c>
      <c r="M178" s="110" t="s">
        <v>41</v>
      </c>
      <c r="N178" s="79">
        <v>22328.5</v>
      </c>
      <c r="O178" s="79">
        <v>331895</v>
      </c>
      <c r="P178" s="70">
        <v>88281.6</v>
      </c>
      <c r="Q178" s="79">
        <v>2053.2</v>
      </c>
      <c r="R178" s="64">
        <f>8276.7+4.6+1360.3</f>
        <v>9641.6</v>
      </c>
      <c r="S178" s="79">
        <f aca="true" t="shared" si="30" ref="S178:S192">SUM(I178,L178:O178,R178,P178,Q178)</f>
        <v>1127452.3</v>
      </c>
      <c r="T178" s="119"/>
    </row>
    <row r="179" spans="1:20" s="80" customFormat="1" ht="15" customHeight="1">
      <c r="A179" s="97" t="s">
        <v>159</v>
      </c>
      <c r="B179" s="79">
        <v>258459.9</v>
      </c>
      <c r="C179" s="79">
        <v>164896.8</v>
      </c>
      <c r="D179" s="70">
        <v>1876.3999999999999</v>
      </c>
      <c r="E179" s="70">
        <v>4951.3</v>
      </c>
      <c r="F179" s="70">
        <v>6435.300000000001</v>
      </c>
      <c r="G179" s="70">
        <v>2.2</v>
      </c>
      <c r="H179" s="64">
        <v>22811.899999999998</v>
      </c>
      <c r="I179" s="70">
        <f aca="true" t="shared" si="31" ref="I179:I184">SUM(B179:H179)</f>
        <v>459433.8</v>
      </c>
      <c r="J179" s="70">
        <v>209138</v>
      </c>
      <c r="K179" s="70">
        <v>16971.9</v>
      </c>
      <c r="L179" s="70">
        <f t="shared" si="29"/>
        <v>226109.9</v>
      </c>
      <c r="M179" s="110" t="s">
        <v>41</v>
      </c>
      <c r="N179" s="79">
        <v>23253.300000000003</v>
      </c>
      <c r="O179" s="79">
        <v>331462.6</v>
      </c>
      <c r="P179" s="70">
        <v>88281.6</v>
      </c>
      <c r="Q179" s="79">
        <v>5368.2</v>
      </c>
      <c r="R179" s="64">
        <f>9494.9+1423.4</f>
        <v>10918.3</v>
      </c>
      <c r="S179" s="79">
        <f t="shared" si="30"/>
        <v>1144827.7</v>
      </c>
      <c r="T179" s="119"/>
    </row>
    <row r="180" spans="1:20" s="80" customFormat="1" ht="15" customHeight="1">
      <c r="A180" s="97" t="s">
        <v>162</v>
      </c>
      <c r="B180" s="79">
        <v>267562.4</v>
      </c>
      <c r="C180" s="79">
        <v>167615</v>
      </c>
      <c r="D180" s="70">
        <v>2634.1</v>
      </c>
      <c r="E180" s="70">
        <v>14379.7</v>
      </c>
      <c r="F180" s="70">
        <v>12223.899999999998</v>
      </c>
      <c r="G180" s="70">
        <v>157.1</v>
      </c>
      <c r="H180" s="64">
        <v>21755.6</v>
      </c>
      <c r="I180" s="70">
        <f t="shared" si="31"/>
        <v>486327.8</v>
      </c>
      <c r="J180" s="70">
        <v>178385.1</v>
      </c>
      <c r="K180" s="70">
        <v>18679.4</v>
      </c>
      <c r="L180" s="70">
        <f t="shared" si="29"/>
        <v>197064.5</v>
      </c>
      <c r="M180" s="110" t="s">
        <v>41</v>
      </c>
      <c r="N180" s="79">
        <v>24941.399999999998</v>
      </c>
      <c r="O180" s="79">
        <v>327928.2</v>
      </c>
      <c r="P180" s="70">
        <v>88281.6</v>
      </c>
      <c r="Q180" s="79">
        <v>5190.1</v>
      </c>
      <c r="R180" s="64">
        <f>8059.5+1432.4-15.6</f>
        <v>9476.3</v>
      </c>
      <c r="S180" s="79">
        <f t="shared" si="30"/>
        <v>1139209.9000000004</v>
      </c>
      <c r="T180" s="119"/>
    </row>
    <row r="181" spans="1:20" s="80" customFormat="1" ht="15" customHeight="1">
      <c r="A181" s="97" t="s">
        <v>163</v>
      </c>
      <c r="B181" s="79">
        <v>269369.5</v>
      </c>
      <c r="C181" s="79">
        <v>160086.1</v>
      </c>
      <c r="D181" s="70">
        <v>2462.2000000000003</v>
      </c>
      <c r="E181" s="70">
        <v>11933.800000000001</v>
      </c>
      <c r="F181" s="70">
        <v>11015.3</v>
      </c>
      <c r="G181" s="70">
        <v>89.2</v>
      </c>
      <c r="H181" s="64">
        <v>27316.7</v>
      </c>
      <c r="I181" s="70">
        <f t="shared" si="31"/>
        <v>482272.8</v>
      </c>
      <c r="J181" s="70">
        <v>173976.19999999998</v>
      </c>
      <c r="K181" s="70">
        <v>24947.8</v>
      </c>
      <c r="L181" s="70">
        <f t="shared" si="29"/>
        <v>198923.99999999997</v>
      </c>
      <c r="M181" s="110" t="s">
        <v>41</v>
      </c>
      <c r="N181" s="79">
        <v>30930.7</v>
      </c>
      <c r="O181" s="79">
        <v>330300.9</v>
      </c>
      <c r="P181" s="70">
        <v>88281.6</v>
      </c>
      <c r="Q181" s="79">
        <v>828.7</v>
      </c>
      <c r="R181" s="64">
        <f>8116.5-9.7+1427.8</f>
        <v>9534.6</v>
      </c>
      <c r="S181" s="79">
        <f t="shared" si="30"/>
        <v>1141073.3</v>
      </c>
      <c r="T181" s="119"/>
    </row>
    <row r="182" spans="1:20" s="80" customFormat="1" ht="15" customHeight="1">
      <c r="A182" s="97" t="s">
        <v>165</v>
      </c>
      <c r="B182" s="79">
        <v>276838.1</v>
      </c>
      <c r="C182" s="79">
        <v>152045.6</v>
      </c>
      <c r="D182" s="70">
        <v>1629.7999999999997</v>
      </c>
      <c r="E182" s="70">
        <v>11390.6</v>
      </c>
      <c r="F182" s="70">
        <v>13862.1</v>
      </c>
      <c r="G182" s="70">
        <v>29.3</v>
      </c>
      <c r="H182" s="64">
        <v>35984.9</v>
      </c>
      <c r="I182" s="70">
        <f t="shared" si="31"/>
        <v>491780.3999999999</v>
      </c>
      <c r="J182" s="70">
        <v>210015.59999999998</v>
      </c>
      <c r="K182" s="70">
        <v>33505.50000000001</v>
      </c>
      <c r="L182" s="70">
        <f t="shared" si="29"/>
        <v>243521.09999999998</v>
      </c>
      <c r="M182" s="110" t="s">
        <v>41</v>
      </c>
      <c r="N182" s="79">
        <v>25659</v>
      </c>
      <c r="O182" s="79">
        <v>338545.9</v>
      </c>
      <c r="P182" s="70">
        <v>88281.6</v>
      </c>
      <c r="Q182" s="79">
        <v>-1.9</v>
      </c>
      <c r="R182" s="64">
        <f>1477.6+13323.5-14.9</f>
        <v>14786.2</v>
      </c>
      <c r="S182" s="79">
        <f t="shared" si="30"/>
        <v>1202572.3</v>
      </c>
      <c r="T182" s="119"/>
    </row>
    <row r="183" spans="1:20" s="80" customFormat="1" ht="15" customHeight="1">
      <c r="A183" s="97" t="s">
        <v>170</v>
      </c>
      <c r="B183" s="79">
        <v>301775.5</v>
      </c>
      <c r="C183" s="79">
        <v>101969.20000000001</v>
      </c>
      <c r="D183" s="70">
        <v>2615.3999999999996</v>
      </c>
      <c r="E183" s="70">
        <v>12376</v>
      </c>
      <c r="F183" s="70">
        <v>17691.3</v>
      </c>
      <c r="G183" s="70">
        <v>11</v>
      </c>
      <c r="H183" s="64">
        <v>31187.100000000002</v>
      </c>
      <c r="I183" s="70">
        <f t="shared" si="31"/>
        <v>467625.5</v>
      </c>
      <c r="J183" s="70">
        <v>164709.90000000002</v>
      </c>
      <c r="K183" s="70">
        <v>41120.100000000006</v>
      </c>
      <c r="L183" s="70">
        <f t="shared" si="29"/>
        <v>205830.00000000003</v>
      </c>
      <c r="M183" s="110" t="s">
        <v>41</v>
      </c>
      <c r="N183" s="79">
        <v>28009</v>
      </c>
      <c r="O183" s="79">
        <v>341304.6</v>
      </c>
      <c r="P183" s="70">
        <v>90657.7</v>
      </c>
      <c r="Q183" s="79">
        <v>-342.1</v>
      </c>
      <c r="R183" s="64">
        <f>1445.2+7960.3+132.5</f>
        <v>9538</v>
      </c>
      <c r="S183" s="79">
        <f t="shared" si="30"/>
        <v>1142622.7</v>
      </c>
      <c r="T183" s="119"/>
    </row>
    <row r="184" spans="1:20" s="80" customFormat="1" ht="15" customHeight="1">
      <c r="A184" s="97" t="s">
        <v>172</v>
      </c>
      <c r="B184" s="79">
        <v>304085.6</v>
      </c>
      <c r="C184" s="79">
        <v>97125.9</v>
      </c>
      <c r="D184" s="70">
        <v>1957.6</v>
      </c>
      <c r="E184" s="70">
        <v>13864.5</v>
      </c>
      <c r="F184" s="70">
        <v>20166.2</v>
      </c>
      <c r="G184" s="70">
        <v>7.9</v>
      </c>
      <c r="H184" s="64">
        <v>30645</v>
      </c>
      <c r="I184" s="70">
        <f t="shared" si="31"/>
        <v>467852.7</v>
      </c>
      <c r="J184" s="70">
        <v>183201.80000000002</v>
      </c>
      <c r="K184" s="70">
        <v>31479.4</v>
      </c>
      <c r="L184" s="70">
        <f t="shared" si="29"/>
        <v>214681.2</v>
      </c>
      <c r="M184" s="110" t="s">
        <v>41</v>
      </c>
      <c r="N184" s="79">
        <v>30132.1</v>
      </c>
      <c r="O184" s="79">
        <v>343809.9</v>
      </c>
      <c r="P184" s="70">
        <v>90496.5</v>
      </c>
      <c r="Q184" s="79">
        <v>-527.5</v>
      </c>
      <c r="R184" s="64">
        <f>7253.1-24.8+1452.5</f>
        <v>8680.8</v>
      </c>
      <c r="S184" s="79">
        <f t="shared" si="30"/>
        <v>1155125.7</v>
      </c>
      <c r="T184" s="119"/>
    </row>
    <row r="185" spans="1:20" s="80" customFormat="1" ht="15" customHeight="1">
      <c r="A185" s="97" t="s">
        <v>174</v>
      </c>
      <c r="B185" s="79">
        <v>307668.6</v>
      </c>
      <c r="C185" s="79">
        <v>142342.4</v>
      </c>
      <c r="D185" s="70">
        <v>1440.9</v>
      </c>
      <c r="E185" s="70">
        <v>5930</v>
      </c>
      <c r="F185" s="70">
        <v>19397.8</v>
      </c>
      <c r="G185" s="70">
        <v>16.2</v>
      </c>
      <c r="H185" s="64">
        <v>30509.1</v>
      </c>
      <c r="I185" s="70">
        <f>SUM(B185:H185)</f>
        <v>507305</v>
      </c>
      <c r="J185" s="70">
        <v>179805.90000000002</v>
      </c>
      <c r="K185" s="70">
        <v>23346.299999999996</v>
      </c>
      <c r="L185" s="70">
        <f t="shared" si="29"/>
        <v>203152.2</v>
      </c>
      <c r="M185" s="110" t="s">
        <v>41</v>
      </c>
      <c r="N185" s="79">
        <v>31170.5</v>
      </c>
      <c r="O185" s="79">
        <v>343249.1</v>
      </c>
      <c r="P185" s="70">
        <v>90496.5</v>
      </c>
      <c r="Q185" s="79">
        <v>-3069.1</v>
      </c>
      <c r="R185" s="64">
        <f>8395.4+1472.9</f>
        <v>9868.3</v>
      </c>
      <c r="S185" s="79">
        <f t="shared" si="30"/>
        <v>1182172.4999999998</v>
      </c>
      <c r="T185" s="119"/>
    </row>
    <row r="186" spans="1:20" s="80" customFormat="1" ht="15" customHeight="1">
      <c r="A186" s="97" t="s">
        <v>176</v>
      </c>
      <c r="B186" s="79">
        <v>297683.1</v>
      </c>
      <c r="C186" s="79">
        <v>156387.69999999998</v>
      </c>
      <c r="D186" s="70">
        <v>2490.3999999999996</v>
      </c>
      <c r="E186" s="70">
        <v>9305.3</v>
      </c>
      <c r="F186" s="70">
        <v>25793.7</v>
      </c>
      <c r="G186" s="70">
        <v>6.3</v>
      </c>
      <c r="H186" s="64">
        <v>31699.3</v>
      </c>
      <c r="I186" s="70">
        <f>SUM(B186:H186)</f>
        <v>523365.79999999993</v>
      </c>
      <c r="J186" s="70">
        <v>180754.30000000002</v>
      </c>
      <c r="K186" s="70">
        <v>23565.600000000002</v>
      </c>
      <c r="L186" s="70">
        <f t="shared" si="29"/>
        <v>204319.90000000002</v>
      </c>
      <c r="M186" s="110" t="s">
        <v>41</v>
      </c>
      <c r="N186" s="79">
        <v>32252.8</v>
      </c>
      <c r="O186" s="79">
        <v>332752.2</v>
      </c>
      <c r="P186" s="70">
        <v>91773</v>
      </c>
      <c r="Q186" s="79">
        <v>-3366.1</v>
      </c>
      <c r="R186" s="64">
        <f>1485.3+10173.2</f>
        <v>11658.5</v>
      </c>
      <c r="S186" s="79">
        <f t="shared" si="30"/>
        <v>1192756.0999999999</v>
      </c>
      <c r="T186" s="119"/>
    </row>
    <row r="187" spans="1:20" s="80" customFormat="1" ht="15" customHeight="1">
      <c r="A187" s="97" t="s">
        <v>177</v>
      </c>
      <c r="B187" s="79">
        <v>289035.9</v>
      </c>
      <c r="C187" s="79">
        <v>161445.5</v>
      </c>
      <c r="D187" s="70">
        <v>1731.9</v>
      </c>
      <c r="E187" s="70">
        <v>8725.3</v>
      </c>
      <c r="F187" s="70">
        <v>19832.3</v>
      </c>
      <c r="G187" s="70">
        <v>0.7</v>
      </c>
      <c r="H187" s="64">
        <f>2097.6+31650.7</f>
        <v>33748.3</v>
      </c>
      <c r="I187" s="70">
        <f>SUM(B187:H187)</f>
        <v>514519.9</v>
      </c>
      <c r="J187" s="70">
        <v>208945.8</v>
      </c>
      <c r="K187" s="70">
        <v>20303.7</v>
      </c>
      <c r="L187" s="70">
        <f t="shared" si="29"/>
        <v>229249.5</v>
      </c>
      <c r="M187" s="110" t="s">
        <v>41</v>
      </c>
      <c r="N187" s="79">
        <v>16128.3</v>
      </c>
      <c r="O187" s="79">
        <v>338942.8</v>
      </c>
      <c r="P187" s="70">
        <v>94971.6</v>
      </c>
      <c r="Q187" s="79">
        <v>-1820.2</v>
      </c>
      <c r="R187" s="64">
        <f>17579.4+1513.9</f>
        <v>19093.300000000003</v>
      </c>
      <c r="S187" s="79">
        <f t="shared" si="30"/>
        <v>1211085.2000000002</v>
      </c>
      <c r="T187" s="120"/>
    </row>
    <row r="188" spans="1:20" s="80" customFormat="1" ht="15" customHeight="1">
      <c r="A188" s="97" t="s">
        <v>179</v>
      </c>
      <c r="B188" s="79">
        <v>290455.6</v>
      </c>
      <c r="C188" s="79">
        <v>161605.9</v>
      </c>
      <c r="D188" s="70">
        <v>2342.7</v>
      </c>
      <c r="E188" s="70">
        <v>9104.8</v>
      </c>
      <c r="F188" s="70">
        <v>20719.8</v>
      </c>
      <c r="G188" s="70">
        <v>15.7</v>
      </c>
      <c r="H188" s="64">
        <f>1580.2+30565.1</f>
        <v>32145.3</v>
      </c>
      <c r="I188" s="70">
        <f>SUM(B188:H188)</f>
        <v>516389.8</v>
      </c>
      <c r="J188" s="70">
        <v>215045.8</v>
      </c>
      <c r="K188" s="70">
        <v>27672</v>
      </c>
      <c r="L188" s="70">
        <f t="shared" si="29"/>
        <v>242717.8</v>
      </c>
      <c r="M188" s="110" t="s">
        <v>41</v>
      </c>
      <c r="N188" s="79">
        <v>15512</v>
      </c>
      <c r="O188" s="79">
        <v>336478.4</v>
      </c>
      <c r="P188" s="70">
        <v>94971.6</v>
      </c>
      <c r="Q188" s="79">
        <v>-3812.7</v>
      </c>
      <c r="R188" s="64">
        <f>21257.2+1663.4</f>
        <v>22920.600000000002</v>
      </c>
      <c r="S188" s="79">
        <f t="shared" si="30"/>
        <v>1225177.5000000002</v>
      </c>
      <c r="T188" s="120"/>
    </row>
    <row r="189" spans="1:20" s="80" customFormat="1" ht="15" customHeight="1">
      <c r="A189" s="97" t="s">
        <v>180</v>
      </c>
      <c r="B189" s="79">
        <v>308146.5</v>
      </c>
      <c r="C189" s="79">
        <v>221165.7</v>
      </c>
      <c r="D189" s="70">
        <v>2169.6</v>
      </c>
      <c r="E189" s="70">
        <v>2679.8</v>
      </c>
      <c r="F189" s="70">
        <v>18075.6</v>
      </c>
      <c r="G189" s="70">
        <v>20</v>
      </c>
      <c r="H189" s="64">
        <f>1575.7+28852.2</f>
        <v>30427.9</v>
      </c>
      <c r="I189" s="70">
        <f>SUM(B189:H189)</f>
        <v>582685.1</v>
      </c>
      <c r="J189" s="70">
        <v>227053.6</v>
      </c>
      <c r="K189" s="70">
        <v>29704.1</v>
      </c>
      <c r="L189" s="70">
        <f t="shared" si="29"/>
        <v>256757.7</v>
      </c>
      <c r="M189" s="110" t="s">
        <v>41</v>
      </c>
      <c r="N189" s="79">
        <v>17665.9</v>
      </c>
      <c r="O189" s="79">
        <v>338555.6</v>
      </c>
      <c r="P189" s="70">
        <v>96208</v>
      </c>
      <c r="Q189" s="79">
        <v>6712.5</v>
      </c>
      <c r="R189" s="64">
        <f>9178.8+1534.8</f>
        <v>10713.599999999999</v>
      </c>
      <c r="S189" s="79">
        <f t="shared" si="30"/>
        <v>1309298.4000000001</v>
      </c>
      <c r="T189" s="120"/>
    </row>
    <row r="190" spans="1:20" s="80" customFormat="1" ht="15" customHeight="1">
      <c r="A190" s="97"/>
      <c r="B190" s="79"/>
      <c r="C190" s="79"/>
      <c r="D190" s="70"/>
      <c r="E190" s="70"/>
      <c r="F190" s="70"/>
      <c r="G190" s="70"/>
      <c r="H190" s="64"/>
      <c r="I190" s="70"/>
      <c r="J190" s="70"/>
      <c r="K190" s="70"/>
      <c r="L190" s="70"/>
      <c r="M190" s="110"/>
      <c r="N190" s="79"/>
      <c r="O190" s="79"/>
      <c r="P190" s="70"/>
      <c r="Q190" s="79"/>
      <c r="R190" s="64"/>
      <c r="S190" s="79"/>
      <c r="T190" s="120"/>
    </row>
    <row r="191" spans="1:20" s="80" customFormat="1" ht="15" customHeight="1">
      <c r="A191" s="97" t="s">
        <v>184</v>
      </c>
      <c r="B191" s="79">
        <v>293218</v>
      </c>
      <c r="C191" s="79">
        <v>203592.7</v>
      </c>
      <c r="D191" s="70">
        <v>1738.6</v>
      </c>
      <c r="E191" s="70">
        <v>9511.6</v>
      </c>
      <c r="F191" s="70">
        <v>21108.4</v>
      </c>
      <c r="G191" s="70">
        <v>10.4</v>
      </c>
      <c r="H191" s="64">
        <f>2448.4+28764.2</f>
        <v>31212.600000000002</v>
      </c>
      <c r="I191" s="70">
        <f>SUM(B191:H191)</f>
        <v>560392.2999999999</v>
      </c>
      <c r="J191" s="70">
        <v>218313.60000000003</v>
      </c>
      <c r="K191" s="70">
        <v>31606.1</v>
      </c>
      <c r="L191" s="70">
        <f t="shared" si="29"/>
        <v>249919.70000000004</v>
      </c>
      <c r="M191" s="110" t="s">
        <v>41</v>
      </c>
      <c r="N191" s="79">
        <v>25105.7</v>
      </c>
      <c r="O191" s="79">
        <v>340558</v>
      </c>
      <c r="P191" s="70">
        <v>96208</v>
      </c>
      <c r="Q191" s="79">
        <v>-9844.7</v>
      </c>
      <c r="R191" s="64">
        <f>8347.1+1557</f>
        <v>9904.1</v>
      </c>
      <c r="S191" s="79">
        <f t="shared" si="30"/>
        <v>1272243.1</v>
      </c>
      <c r="T191" s="120"/>
    </row>
    <row r="192" spans="1:20" s="80" customFormat="1" ht="15" customHeight="1">
      <c r="A192" s="97" t="s">
        <v>159</v>
      </c>
      <c r="B192" s="79">
        <v>298489.9</v>
      </c>
      <c r="C192" s="79">
        <v>188388</v>
      </c>
      <c r="D192" s="70">
        <v>3051.2</v>
      </c>
      <c r="E192" s="70">
        <v>9623.2</v>
      </c>
      <c r="F192" s="70">
        <v>12736.9</v>
      </c>
      <c r="G192" s="70">
        <v>16.2</v>
      </c>
      <c r="H192" s="64">
        <f>3594.9+29079.4</f>
        <v>32674.300000000003</v>
      </c>
      <c r="I192" s="70">
        <f>SUM(B192:H192)</f>
        <v>544979.7000000001</v>
      </c>
      <c r="J192" s="70">
        <v>218866.3</v>
      </c>
      <c r="K192" s="70">
        <v>34747.9</v>
      </c>
      <c r="L192" s="70">
        <f t="shared" si="29"/>
        <v>253614.19999999998</v>
      </c>
      <c r="M192" s="110" t="s">
        <v>41</v>
      </c>
      <c r="N192" s="79">
        <v>28298.5</v>
      </c>
      <c r="O192" s="79">
        <v>338999.5</v>
      </c>
      <c r="P192" s="70">
        <v>94497.7</v>
      </c>
      <c r="Q192" s="79">
        <v>-6948</v>
      </c>
      <c r="R192" s="64">
        <f>12438.9+1568.1</f>
        <v>14007</v>
      </c>
      <c r="S192" s="79">
        <f t="shared" si="30"/>
        <v>1267448.5999999999</v>
      </c>
      <c r="T192" s="120"/>
    </row>
    <row r="193" spans="1:19" s="72" customFormat="1" ht="15" customHeight="1">
      <c r="A193" s="83"/>
      <c r="B193" s="84"/>
      <c r="C193" s="84"/>
      <c r="D193" s="85"/>
      <c r="E193" s="85"/>
      <c r="F193" s="85"/>
      <c r="G193" s="86"/>
      <c r="H193" s="87"/>
      <c r="I193" s="88"/>
      <c r="J193" s="86"/>
      <c r="K193" s="85"/>
      <c r="L193" s="85"/>
      <c r="M193" s="85"/>
      <c r="N193" s="84"/>
      <c r="O193" s="84"/>
      <c r="P193" s="88"/>
      <c r="Q193" s="89"/>
      <c r="R193" s="90"/>
      <c r="S193" s="88"/>
    </row>
    <row r="194" spans="1:19" s="72" customFormat="1" ht="15" customHeight="1" hidden="1">
      <c r="A194" s="98"/>
      <c r="B194" s="67"/>
      <c r="C194" s="69"/>
      <c r="D194" s="65"/>
      <c r="E194" s="65"/>
      <c r="F194" s="65"/>
      <c r="G194" s="70"/>
      <c r="H194" s="64"/>
      <c r="I194" s="71"/>
      <c r="J194" s="70"/>
      <c r="K194" s="65"/>
      <c r="L194" s="65"/>
      <c r="M194" s="65"/>
      <c r="N194" s="69"/>
      <c r="O194" s="69"/>
      <c r="P194" s="71"/>
      <c r="Q194" s="73"/>
      <c r="R194" s="66"/>
      <c r="S194" s="71"/>
    </row>
    <row r="195" spans="1:19" s="72" customFormat="1" ht="15" customHeight="1" hidden="1">
      <c r="A195" s="98"/>
      <c r="B195" s="67"/>
      <c r="C195" s="69"/>
      <c r="D195" s="65"/>
      <c r="E195" s="65"/>
      <c r="F195" s="65"/>
      <c r="G195" s="70"/>
      <c r="H195" s="64"/>
      <c r="I195" s="71"/>
      <c r="J195" s="70"/>
      <c r="K195" s="65"/>
      <c r="L195" s="65"/>
      <c r="M195" s="65"/>
      <c r="N195" s="69"/>
      <c r="O195" s="69"/>
      <c r="P195" s="71"/>
      <c r="Q195" s="73"/>
      <c r="R195" s="66"/>
      <c r="S195" s="71"/>
    </row>
    <row r="196" spans="1:19" s="72" customFormat="1" ht="15" customHeight="1" hidden="1">
      <c r="A196" s="98"/>
      <c r="B196" s="67"/>
      <c r="C196" s="69"/>
      <c r="D196" s="65"/>
      <c r="E196" s="65"/>
      <c r="F196" s="65"/>
      <c r="G196" s="70"/>
      <c r="H196" s="64"/>
      <c r="I196" s="71"/>
      <c r="J196" s="70"/>
      <c r="K196" s="65"/>
      <c r="L196" s="65"/>
      <c r="M196" s="65"/>
      <c r="N196" s="69"/>
      <c r="O196" s="69"/>
      <c r="P196" s="71"/>
      <c r="Q196" s="73"/>
      <c r="R196" s="66"/>
      <c r="S196" s="71"/>
    </row>
    <row r="197" spans="1:19" s="72" customFormat="1" ht="12.75" customHeight="1" hidden="1">
      <c r="A197" s="98"/>
      <c r="B197" s="67"/>
      <c r="C197" s="69"/>
      <c r="D197" s="65"/>
      <c r="E197" s="65"/>
      <c r="F197" s="65"/>
      <c r="G197" s="70"/>
      <c r="H197" s="64"/>
      <c r="I197" s="71">
        <f>SUM(B197:H197)</f>
        <v>0</v>
      </c>
      <c r="J197" s="70"/>
      <c r="K197" s="65"/>
      <c r="L197" s="65">
        <f>SUM(J197:K197)</f>
        <v>0</v>
      </c>
      <c r="M197" s="65"/>
      <c r="N197" s="69"/>
      <c r="O197" s="69"/>
      <c r="P197" s="71"/>
      <c r="Q197" s="73"/>
      <c r="R197" s="66"/>
      <c r="S197" s="71">
        <f>SUM(I197,L197:O197,R197,P197,Q197)</f>
        <v>0</v>
      </c>
    </row>
    <row r="198" spans="1:19" ht="15.75">
      <c r="A198" s="99"/>
      <c r="B198" s="100"/>
      <c r="C198" s="100"/>
      <c r="D198" s="100"/>
      <c r="E198" s="100"/>
      <c r="F198" s="100"/>
      <c r="G198" s="101"/>
      <c r="H198" s="101"/>
      <c r="I198" s="100"/>
      <c r="J198" s="101"/>
      <c r="K198" s="100"/>
      <c r="L198" s="100"/>
      <c r="M198" s="100"/>
      <c r="N198" s="100"/>
      <c r="O198" s="100"/>
      <c r="P198" s="102"/>
      <c r="Q198" s="102"/>
      <c r="R198" s="100"/>
      <c r="S198" s="103"/>
    </row>
    <row r="199" spans="1:19" s="72" customFormat="1" ht="15.75">
      <c r="A199" s="111" t="s">
        <v>157</v>
      </c>
      <c r="B199" s="104"/>
      <c r="C199" s="104"/>
      <c r="D199" s="104"/>
      <c r="E199" s="104"/>
      <c r="F199" s="104"/>
      <c r="G199" s="105"/>
      <c r="H199" s="105"/>
      <c r="I199" s="104"/>
      <c r="J199" s="105"/>
      <c r="K199" s="104"/>
      <c r="L199" s="104"/>
      <c r="M199" s="104"/>
      <c r="N199" s="104"/>
      <c r="O199" s="104"/>
      <c r="P199" s="106"/>
      <c r="Q199" s="106"/>
      <c r="R199" s="104"/>
      <c r="S199" s="107"/>
    </row>
    <row r="200" spans="1:19" ht="15.75">
      <c r="A200" s="72"/>
      <c r="B200" s="34"/>
      <c r="C200" s="34"/>
      <c r="D200" s="34"/>
      <c r="E200" s="34"/>
      <c r="F200" s="34"/>
      <c r="G200" s="91"/>
      <c r="H200" s="91"/>
      <c r="I200" s="34"/>
      <c r="J200" s="91"/>
      <c r="K200" s="34"/>
      <c r="L200" s="34"/>
      <c r="M200" s="34"/>
      <c r="N200" s="34"/>
      <c r="O200" s="34"/>
      <c r="P200" s="92"/>
      <c r="R200" s="34"/>
      <c r="S200" s="34"/>
    </row>
    <row r="201" spans="1:19" ht="15.75">
      <c r="A201" s="72"/>
      <c r="B201" s="34"/>
      <c r="C201" s="34"/>
      <c r="D201" s="34"/>
      <c r="E201" s="34"/>
      <c r="F201" s="34"/>
      <c r="G201" s="91"/>
      <c r="H201" s="91"/>
      <c r="I201" s="34"/>
      <c r="J201" s="91"/>
      <c r="K201" s="34"/>
      <c r="L201" s="34"/>
      <c r="M201" s="34"/>
      <c r="N201" s="34"/>
      <c r="O201" s="34"/>
      <c r="P201" s="92"/>
      <c r="R201" s="96"/>
      <c r="S201" s="34"/>
    </row>
    <row r="202" ht="15.75">
      <c r="B202" s="34"/>
    </row>
  </sheetData>
  <sheetProtection/>
  <mergeCells count="4">
    <mergeCell ref="J8:L8"/>
    <mergeCell ref="B8:I8"/>
    <mergeCell ref="A3:S3"/>
    <mergeCell ref="A4:S4"/>
  </mergeCells>
  <printOptions horizontalCentered="1" verticalCentered="1"/>
  <pageMargins left="0.7" right="0.66" top="0.5118110236220472" bottom="0.52" header="0.5118110236220472" footer="0.5118110236220472"/>
  <pageSetup horizontalDpi="360" verticalDpi="36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GIRIMANA</dc:creator>
  <cp:keywords/>
  <dc:description/>
  <cp:lastModifiedBy>MPAWENAYO Jean Claude</cp:lastModifiedBy>
  <cp:lastPrinted>2017-07-11T06:05:17Z</cp:lastPrinted>
  <dcterms:created xsi:type="dcterms:W3CDTF">2000-09-13T06:05:15Z</dcterms:created>
  <dcterms:modified xsi:type="dcterms:W3CDTF">2018-05-04T07:25:45Z</dcterms:modified>
  <cp:category/>
  <cp:version/>
  <cp:contentType/>
  <cp:contentStatus/>
</cp:coreProperties>
</file>