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12090" windowHeight="7860" firstSheet="1" activeTab="3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22" i="3" l="1"/>
  <c r="Q22" i="3"/>
  <c r="N22" i="3"/>
  <c r="S22" i="3" s="1"/>
  <c r="M22" i="3"/>
  <c r="K22" i="3"/>
  <c r="I22" i="3"/>
  <c r="E22" i="3"/>
  <c r="D22" i="3"/>
  <c r="C22" i="3"/>
  <c r="B22" i="3"/>
  <c r="R64" i="5"/>
  <c r="Q64" i="5"/>
  <c r="S64" i="5" s="1"/>
  <c r="N64" i="5"/>
  <c r="M64" i="5"/>
  <c r="K64" i="5"/>
  <c r="I64" i="5"/>
  <c r="E64" i="5"/>
  <c r="D64" i="5"/>
  <c r="C64" i="5"/>
  <c r="B64" i="5"/>
  <c r="R176" i="4"/>
  <c r="Q176" i="4"/>
  <c r="N176" i="4"/>
  <c r="M176" i="4"/>
  <c r="K176" i="4"/>
  <c r="I176" i="4"/>
  <c r="E176" i="4"/>
  <c r="D176" i="4"/>
  <c r="S176" i="4" s="1"/>
  <c r="C176" i="4"/>
  <c r="B176" i="4"/>
  <c r="R175" i="4"/>
  <c r="Q175" i="4"/>
  <c r="N175" i="4"/>
  <c r="M175" i="4"/>
  <c r="K175" i="4"/>
  <c r="I175" i="4"/>
  <c r="E175" i="4"/>
  <c r="D175" i="4"/>
  <c r="C175" i="4"/>
  <c r="S175" i="4" s="1"/>
  <c r="B175" i="4"/>
  <c r="R174" i="4" l="1"/>
  <c r="Q174" i="4"/>
  <c r="N174" i="4"/>
  <c r="M174" i="4"/>
  <c r="K174" i="4"/>
  <c r="I174" i="4"/>
  <c r="E174" i="4"/>
  <c r="D174" i="4"/>
  <c r="C174" i="4"/>
  <c r="B174" i="4"/>
  <c r="S174" i="4" l="1"/>
  <c r="R63" i="5"/>
  <c r="Q63" i="5"/>
  <c r="N63" i="5"/>
  <c r="M63" i="5"/>
  <c r="K63" i="5"/>
  <c r="E63" i="5"/>
  <c r="D63" i="5"/>
  <c r="C63" i="5"/>
  <c r="B63" i="5"/>
  <c r="S173" i="4"/>
  <c r="R173" i="4"/>
  <c r="Q173" i="4"/>
  <c r="N173" i="4"/>
  <c r="M173" i="4"/>
  <c r="K173" i="4"/>
  <c r="E173" i="4"/>
  <c r="D173" i="4"/>
  <c r="C173" i="4"/>
  <c r="B173" i="4"/>
  <c r="R172" i="4"/>
  <c r="Q172" i="4"/>
  <c r="N172" i="4"/>
  <c r="M172" i="4"/>
  <c r="K172" i="4"/>
  <c r="E172" i="4"/>
  <c r="D172" i="4"/>
  <c r="C172" i="4"/>
  <c r="B172" i="4"/>
  <c r="S63" i="5" l="1"/>
  <c r="S172" i="4"/>
  <c r="R62" i="5"/>
  <c r="Q62" i="5"/>
  <c r="N62" i="5"/>
  <c r="M62" i="5"/>
  <c r="K62" i="5"/>
  <c r="E62" i="5"/>
  <c r="D62" i="5"/>
  <c r="C62" i="5"/>
  <c r="B62" i="5"/>
  <c r="R61" i="5"/>
  <c r="Q61" i="5"/>
  <c r="N61" i="5"/>
  <c r="M61" i="5"/>
  <c r="K61" i="5"/>
  <c r="E61" i="5"/>
  <c r="D61" i="5"/>
  <c r="C61" i="5"/>
  <c r="B61" i="5"/>
  <c r="R171" i="4"/>
  <c r="Q171" i="4"/>
  <c r="N171" i="4"/>
  <c r="M171" i="4"/>
  <c r="K171" i="4"/>
  <c r="E171" i="4"/>
  <c r="D171" i="4"/>
  <c r="C171" i="4"/>
  <c r="B171" i="4"/>
  <c r="R170" i="4"/>
  <c r="Q170" i="4"/>
  <c r="N170" i="4"/>
  <c r="M170" i="4"/>
  <c r="K170" i="4"/>
  <c r="E170" i="4"/>
  <c r="D170" i="4"/>
  <c r="C170" i="4"/>
  <c r="B170" i="4"/>
  <c r="R169" i="4"/>
  <c r="Q169" i="4"/>
  <c r="N169" i="4"/>
  <c r="M169" i="4"/>
  <c r="K169" i="4"/>
  <c r="E169" i="4"/>
  <c r="D169" i="4"/>
  <c r="C169" i="4"/>
  <c r="B169" i="4"/>
  <c r="R168" i="4"/>
  <c r="Q168" i="4"/>
  <c r="N168" i="4"/>
  <c r="M168" i="4"/>
  <c r="K168" i="4"/>
  <c r="E168" i="4"/>
  <c r="D168" i="4"/>
  <c r="C168" i="4"/>
  <c r="B168" i="4"/>
  <c r="R167" i="4"/>
  <c r="Q167" i="4"/>
  <c r="N167" i="4"/>
  <c r="M167" i="4"/>
  <c r="K167" i="4"/>
  <c r="E167" i="4"/>
  <c r="D167" i="4"/>
  <c r="C167" i="4"/>
  <c r="B167" i="4"/>
  <c r="S62" i="5" l="1"/>
  <c r="S61" i="5"/>
  <c r="S167" i="4"/>
  <c r="S169" i="4"/>
  <c r="S168" i="4"/>
  <c r="S170" i="4"/>
  <c r="S171" i="4"/>
  <c r="R57" i="5"/>
  <c r="Q57" i="5"/>
  <c r="K57" i="5"/>
  <c r="E57" i="5"/>
  <c r="D57" i="5"/>
  <c r="B57" i="5"/>
  <c r="R155" i="4"/>
  <c r="Q155" i="4"/>
  <c r="K155" i="4"/>
  <c r="E155" i="4"/>
  <c r="D155" i="4"/>
  <c r="B155" i="4"/>
  <c r="S57" i="5" l="1"/>
  <c r="S155" i="4"/>
  <c r="R21" i="3" l="1"/>
  <c r="Q21" i="3"/>
  <c r="N21" i="3"/>
  <c r="M21" i="3"/>
  <c r="K21" i="3"/>
  <c r="I21" i="3"/>
  <c r="E21" i="3"/>
  <c r="D21" i="3"/>
  <c r="C21" i="3"/>
  <c r="B21" i="3"/>
  <c r="S21" i="3" s="1"/>
  <c r="R60" i="5"/>
  <c r="Q60" i="5"/>
  <c r="N60" i="5"/>
  <c r="M60" i="5"/>
  <c r="K60" i="5"/>
  <c r="I60" i="5"/>
  <c r="E60" i="5"/>
  <c r="D60" i="5"/>
  <c r="C60" i="5"/>
  <c r="B60" i="5"/>
  <c r="R166" i="4"/>
  <c r="Q166" i="4"/>
  <c r="N166" i="4"/>
  <c r="M166" i="4"/>
  <c r="K166" i="4"/>
  <c r="I166" i="4"/>
  <c r="E166" i="4"/>
  <c r="D166" i="4"/>
  <c r="C166" i="4"/>
  <c r="B166" i="4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S60" i="5" l="1"/>
  <c r="S164" i="4"/>
  <c r="S165" i="4"/>
  <c r="S166" i="4"/>
  <c r="R163" i="4"/>
  <c r="Q163" i="4"/>
  <c r="N163" i="4"/>
  <c r="M163" i="4"/>
  <c r="K163" i="4"/>
  <c r="I163" i="4"/>
  <c r="E163" i="4"/>
  <c r="D163" i="4"/>
  <c r="C163" i="4"/>
  <c r="B163" i="4"/>
  <c r="R162" i="4"/>
  <c r="Q162" i="4"/>
  <c r="N162" i="4"/>
  <c r="M162" i="4"/>
  <c r="K162" i="4"/>
  <c r="I162" i="4"/>
  <c r="E162" i="4"/>
  <c r="D162" i="4"/>
  <c r="C162" i="4"/>
  <c r="B162" i="4"/>
  <c r="S162" i="4" l="1"/>
  <c r="S163" i="4"/>
  <c r="R59" i="5"/>
  <c r="Q59" i="5"/>
  <c r="N59" i="5"/>
  <c r="M59" i="5"/>
  <c r="K59" i="5"/>
  <c r="E59" i="5"/>
  <c r="D59" i="5"/>
  <c r="C59" i="5"/>
  <c r="B59" i="5"/>
  <c r="R161" i="4"/>
  <c r="Q161" i="4"/>
  <c r="N161" i="4"/>
  <c r="M161" i="4"/>
  <c r="K161" i="4"/>
  <c r="E161" i="4"/>
  <c r="D161" i="4"/>
  <c r="C161" i="4"/>
  <c r="B161" i="4"/>
  <c r="S59" i="5" l="1"/>
  <c r="S161" i="4"/>
  <c r="R160" i="4"/>
  <c r="Q160" i="4"/>
  <c r="K160" i="4"/>
  <c r="E160" i="4"/>
  <c r="D160" i="4"/>
  <c r="B160" i="4"/>
  <c r="S160" i="4" s="1"/>
  <c r="R159" i="4"/>
  <c r="Q159" i="4"/>
  <c r="K159" i="4"/>
  <c r="E159" i="4"/>
  <c r="D159" i="4"/>
  <c r="B159" i="4"/>
  <c r="S159" i="4" l="1"/>
  <c r="R58" i="5"/>
  <c r="Q58" i="5"/>
  <c r="K58" i="5"/>
  <c r="E58" i="5"/>
  <c r="D58" i="5"/>
  <c r="B58" i="5"/>
  <c r="R158" i="4"/>
  <c r="Q158" i="4"/>
  <c r="K158" i="4"/>
  <c r="E158" i="4"/>
  <c r="D158" i="4"/>
  <c r="B158" i="4"/>
  <c r="S58" i="5" l="1"/>
  <c r="S158" i="4"/>
  <c r="R157" i="4"/>
  <c r="Q157" i="4"/>
  <c r="K157" i="4"/>
  <c r="E157" i="4"/>
  <c r="D157" i="4"/>
  <c r="B157" i="4"/>
  <c r="S157" i="4" l="1"/>
  <c r="R156" i="4"/>
  <c r="Q156" i="4"/>
  <c r="K156" i="4"/>
  <c r="E156" i="4"/>
  <c r="D156" i="4"/>
  <c r="B156" i="4"/>
  <c r="S156" i="4" s="1"/>
  <c r="R20" i="3" l="1"/>
  <c r="Q20" i="3"/>
  <c r="E20" i="3"/>
  <c r="R56" i="5"/>
  <c r="Q56" i="5"/>
  <c r="E56" i="5"/>
  <c r="R154" i="4"/>
  <c r="Q154" i="4"/>
  <c r="K154" i="4"/>
  <c r="E154" i="4"/>
  <c r="D154" i="4"/>
  <c r="B154" i="4"/>
  <c r="R153" i="4"/>
  <c r="Q153" i="4"/>
  <c r="E153" i="4"/>
  <c r="D153" i="4"/>
  <c r="B153" i="4"/>
  <c r="R152" i="4"/>
  <c r="Q152" i="4"/>
  <c r="E152" i="4"/>
  <c r="S152" i="4" s="1"/>
  <c r="S154" i="4" l="1"/>
  <c r="S56" i="5"/>
  <c r="S20" i="3"/>
  <c r="S153" i="4"/>
  <c r="R151" i="4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K149" i="4"/>
  <c r="E149" i="4"/>
  <c r="D149" i="4"/>
  <c r="B149" i="4"/>
  <c r="S149" i="4" l="1"/>
  <c r="R148" i="4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R146" i="4"/>
  <c r="Q146" i="4"/>
  <c r="K146" i="4"/>
  <c r="E146" i="4"/>
  <c r="D146" i="4"/>
  <c r="B146" i="4"/>
  <c r="S54" i="5" l="1"/>
  <c r="S146" i="4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Q141" i="4"/>
  <c r="E141" i="4"/>
  <c r="S140" i="4"/>
  <c r="E139" i="4"/>
  <c r="S139" i="4" s="1"/>
  <c r="S142" i="4" l="1"/>
  <c r="S141" i="4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<sst xmlns="http://schemas.openxmlformats.org/spreadsheetml/2006/main" count="199" uniqueCount="53">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</sst>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165" fontId="0" fillId="0" borderId="0" xfId="0"/>
    <xf numFmtId="165" fontId="0" fillId="0" borderId="1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5" xfId="0" applyNumberFormat="1" applyFont="1" applyBorder="1" applyAlignment="1" applyProtection="1">
      <alignment horizontal="right"/>
    </xf>
    <xf numFmtId="165" fontId="9" fillId="0" borderId="5" xfId="0" quotePrefix="1" applyNumberFormat="1" applyFont="1" applyBorder="1" applyAlignment="1" applyProtection="1">
      <alignment horizontal="right"/>
    </xf>
    <xf numFmtId="165" fontId="9" fillId="0" borderId="5" xfId="0" applyNumberFormat="1" applyFont="1" applyFill="1" applyBorder="1" applyAlignment="1" applyProtection="1">
      <alignment horizontal="right"/>
    </xf>
    <xf numFmtId="166" fontId="9" fillId="0" borderId="5" xfId="1" applyNumberFormat="1" applyFont="1" applyFill="1" applyBorder="1" applyAlignment="1" applyProtection="1">
      <alignment horizontal="right"/>
    </xf>
    <xf numFmtId="167" fontId="9" fillId="0" borderId="5" xfId="0" applyNumberFormat="1" applyFont="1" applyFill="1" applyBorder="1" applyAlignment="1" applyProtection="1">
      <alignment horizontal="right"/>
    </xf>
    <xf numFmtId="165" fontId="9" fillId="2" borderId="5" xfId="0" applyNumberFormat="1" applyFont="1" applyFill="1" applyBorder="1" applyAlignment="1" applyProtection="1">
      <alignment horizontal="right"/>
    </xf>
    <xf numFmtId="165" fontId="9" fillId="0" borderId="5" xfId="0" applyFont="1" applyBorder="1"/>
    <xf numFmtId="165" fontId="9" fillId="0" borderId="5" xfId="0" applyFont="1" applyFill="1" applyBorder="1"/>
    <xf numFmtId="167" fontId="9" fillId="0" borderId="5" xfId="0" applyNumberFormat="1" applyFont="1" applyFill="1" applyBorder="1"/>
    <xf numFmtId="165" fontId="9" fillId="2" borderId="5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4" fillId="0" borderId="0" xfId="0" applyFont="1"/>
    <xf numFmtId="165" fontId="14" fillId="0" borderId="1" xfId="0" applyNumberFormat="1" applyFont="1" applyBorder="1" applyAlignment="1" applyProtection="1">
      <alignment horizontal="fill"/>
    </xf>
    <xf numFmtId="165" fontId="14" fillId="0" borderId="0" xfId="0" applyNumberFormat="1" applyFont="1" applyBorder="1" applyAlignment="1" applyProtection="1">
      <alignment horizontal="fill"/>
    </xf>
    <xf numFmtId="165" fontId="14" fillId="0" borderId="0" xfId="0" applyNumberFormat="1" applyFont="1" applyFill="1" applyBorder="1" applyAlignment="1" applyProtection="1">
      <alignment horizontal="fill"/>
    </xf>
    <xf numFmtId="167" fontId="14" fillId="0" borderId="0" xfId="0" applyNumberFormat="1" applyFont="1" applyFill="1" applyBorder="1" applyAlignment="1" applyProtection="1">
      <alignment horizontal="fill"/>
    </xf>
    <xf numFmtId="165" fontId="9" fillId="0" borderId="6" xfId="0" applyFont="1" applyBorder="1"/>
    <xf numFmtId="165" fontId="9" fillId="2" borderId="6" xfId="0" applyFont="1" applyFill="1" applyBorder="1"/>
    <xf numFmtId="165" fontId="9" fillId="0" borderId="6" xfId="0" applyNumberFormat="1" applyFont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6" fontId="9" fillId="0" borderId="6" xfId="1" applyNumberFormat="1" applyFont="1" applyFill="1" applyBorder="1" applyAlignment="1" applyProtection="1">
      <alignment horizontal="right"/>
    </xf>
    <xf numFmtId="167" fontId="9" fillId="0" borderId="6" xfId="0" applyNumberFormat="1" applyFont="1" applyFill="1" applyBorder="1"/>
    <xf numFmtId="165" fontId="12" fillId="0" borderId="2" xfId="0" applyFont="1" applyBorder="1"/>
    <xf numFmtId="165" fontId="14" fillId="0" borderId="3" xfId="0" applyFont="1" applyBorder="1"/>
    <xf numFmtId="165" fontId="14" fillId="0" borderId="4" xfId="0" applyFont="1" applyBorder="1"/>
    <xf numFmtId="165" fontId="14" fillId="0" borderId="0" xfId="0" applyFont="1" applyBorder="1"/>
    <xf numFmtId="165" fontId="6" fillId="3" borderId="7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5" fillId="0" borderId="0" xfId="0" applyFont="1"/>
    <xf numFmtId="165" fontId="13" fillId="0" borderId="5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8" fillId="0" borderId="5" xfId="0" applyFont="1" applyBorder="1" applyAlignment="1">
      <alignment horizontal="center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8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5" xfId="0" applyNumberFormat="1" applyFont="1" applyFill="1" applyBorder="1" applyAlignment="1" applyProtection="1">
      <alignment horizontal="left"/>
    </xf>
    <xf numFmtId="170" fontId="9" fillId="0" borderId="5" xfId="0" applyNumberFormat="1" applyFont="1" applyBorder="1" applyAlignment="1">
      <alignment horizontal="left"/>
    </xf>
    <xf numFmtId="167" fontId="12" fillId="5" borderId="6" xfId="0" applyNumberFormat="1" applyFont="1" applyFill="1" applyBorder="1" applyAlignment="1" applyProtection="1">
      <alignment horizontal="center" vertical="center" wrapText="1"/>
    </xf>
    <xf numFmtId="167" fontId="12" fillId="5" borderId="9" xfId="0" applyNumberFormat="1" applyFont="1" applyFill="1" applyBorder="1" applyAlignment="1" applyProtection="1">
      <alignment horizontal="center" vertical="center" wrapText="1"/>
    </xf>
    <xf numFmtId="165" fontId="12" fillId="5" borderId="6" xfId="0" applyNumberFormat="1" applyFont="1" applyFill="1" applyBorder="1" applyAlignment="1" applyProtection="1">
      <alignment horizontal="center" vertical="center" wrapText="1"/>
    </xf>
    <xf numFmtId="165" fontId="12" fillId="5" borderId="9" xfId="0" applyNumberFormat="1" applyFont="1" applyFill="1" applyBorder="1" applyAlignment="1" applyProtection="1">
      <alignment horizontal="center" vertical="center" wrapText="1"/>
    </xf>
    <xf numFmtId="165" fontId="12" fillId="5" borderId="6" xfId="0" applyNumberFormat="1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0" xfId="0" applyNumberFormat="1" applyFont="1" applyFill="1" applyBorder="1" applyAlignment="1" applyProtection="1">
      <alignment horizontal="center" vertical="center"/>
    </xf>
    <xf numFmtId="167" fontId="12" fillId="5" borderId="11" xfId="0" applyNumberFormat="1" applyFont="1" applyFill="1" applyBorder="1" applyAlignment="1" applyProtection="1">
      <alignment horizontal="center" vertical="center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D1" workbookViewId="0">
      <selection activeCell="G18" sqref="G18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44" t="s">
        <v>13</v>
      </c>
      <c r="C11" s="44" t="s">
        <v>14</v>
      </c>
      <c r="D11" s="44" t="s">
        <v>15</v>
      </c>
      <c r="E11" s="44" t="s">
        <v>16</v>
      </c>
    </row>
    <row r="12" spans="2:5" s="14" customFormat="1" x14ac:dyDescent="0.25">
      <c r="B12" s="50" t="s">
        <v>17</v>
      </c>
      <c r="C12" s="51" t="s">
        <v>21</v>
      </c>
      <c r="D12" s="51" t="s">
        <v>17</v>
      </c>
      <c r="E12" s="45">
        <v>44561</v>
      </c>
    </row>
    <row r="13" spans="2:5" s="14" customFormat="1" x14ac:dyDescent="0.25">
      <c r="B13" s="50" t="s">
        <v>18</v>
      </c>
      <c r="C13" s="51" t="s">
        <v>22</v>
      </c>
      <c r="D13" s="51" t="s">
        <v>18</v>
      </c>
      <c r="E13" s="46" t="s">
        <v>51</v>
      </c>
    </row>
    <row r="14" spans="2:5" s="14" customFormat="1" x14ac:dyDescent="0.25">
      <c r="B14" s="50" t="s">
        <v>19</v>
      </c>
      <c r="C14" s="51" t="s">
        <v>23</v>
      </c>
      <c r="D14" s="51" t="s">
        <v>19</v>
      </c>
      <c r="E14" s="47" t="s">
        <v>52</v>
      </c>
    </row>
    <row r="15" spans="2:5" s="14" customFormat="1" x14ac:dyDescent="0.25"/>
    <row r="16" spans="2:5" s="14" customFormat="1" x14ac:dyDescent="0.25">
      <c r="B16" s="14" t="s">
        <v>20</v>
      </c>
      <c r="C16" s="52"/>
    </row>
    <row r="17" spans="2:3" s="14" customFormat="1" x14ac:dyDescent="0.25">
      <c r="B17" s="14" t="s">
        <v>44</v>
      </c>
      <c r="C17" s="52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57" t="s">
        <v>45</v>
      </c>
    </row>
    <row r="24" spans="2:3" x14ac:dyDescent="0.25">
      <c r="B24" s="49" t="s">
        <v>25</v>
      </c>
    </row>
    <row r="25" spans="2:3" x14ac:dyDescent="0.25">
      <c r="B25" s="49" t="s">
        <v>43</v>
      </c>
    </row>
    <row r="26" spans="2:3" x14ac:dyDescent="0.25">
      <c r="B26" s="49" t="s">
        <v>26</v>
      </c>
    </row>
    <row r="27" spans="2:3" x14ac:dyDescent="0.25">
      <c r="B27" s="49" t="s">
        <v>48</v>
      </c>
    </row>
    <row r="28" spans="2:3" x14ac:dyDescent="0.25">
      <c r="B28" s="49" t="s">
        <v>27</v>
      </c>
    </row>
    <row r="29" spans="2:3" x14ac:dyDescent="0.25">
      <c r="B29" s="49" t="s">
        <v>28</v>
      </c>
    </row>
    <row r="30" spans="2:3" x14ac:dyDescent="0.25">
      <c r="B30" s="49" t="s">
        <v>29</v>
      </c>
    </row>
    <row r="31" spans="2:3" x14ac:dyDescent="0.25">
      <c r="B31" s="49" t="s">
        <v>30</v>
      </c>
    </row>
    <row r="32" spans="2:3" x14ac:dyDescent="0.25">
      <c r="B32" s="49" t="s">
        <v>31</v>
      </c>
    </row>
    <row r="33" spans="2:2" x14ac:dyDescent="0.25">
      <c r="B33" s="49" t="s">
        <v>32</v>
      </c>
    </row>
    <row r="34" spans="2:2" x14ac:dyDescent="0.25">
      <c r="B34" s="49" t="s">
        <v>33</v>
      </c>
    </row>
    <row r="35" spans="2:2" x14ac:dyDescent="0.25">
      <c r="B35" s="49" t="s">
        <v>34</v>
      </c>
    </row>
    <row r="36" spans="2:2" x14ac:dyDescent="0.25">
      <c r="B36" s="49" t="s">
        <v>35</v>
      </c>
    </row>
    <row r="37" spans="2:2" x14ac:dyDescent="0.25">
      <c r="B37" s="49" t="s">
        <v>36</v>
      </c>
    </row>
    <row r="38" spans="2:2" x14ac:dyDescent="0.25">
      <c r="B38" s="49" t="s">
        <v>37</v>
      </c>
    </row>
    <row r="39" spans="2:2" x14ac:dyDescent="0.25">
      <c r="B39" s="49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2"/>
  <sheetViews>
    <sheetView workbookViewId="0">
      <pane xSplit="1" ySplit="8" topLeftCell="B167" activePane="bottomRight" state="frozen"/>
      <selection pane="topRight" activeCell="B1" sqref="B1"/>
      <selection pane="bottomLeft" activeCell="A9" sqref="A9"/>
      <selection pane="bottomRight" activeCell="A176" sqref="A176:XFD176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0" t="s">
        <v>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2" t="s">
        <v>46</v>
      </c>
      <c r="B7" s="68" t="s">
        <v>25</v>
      </c>
      <c r="C7" s="66" t="s">
        <v>43</v>
      </c>
      <c r="D7" s="74" t="s">
        <v>47</v>
      </c>
      <c r="E7" s="75" t="s">
        <v>48</v>
      </c>
      <c r="F7" s="75"/>
      <c r="G7" s="75"/>
      <c r="H7" s="74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50</v>
      </c>
      <c r="Q7" s="64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3"/>
      <c r="B8" s="69"/>
      <c r="C8" s="67"/>
      <c r="D8" s="74"/>
      <c r="E8" s="56" t="s">
        <v>25</v>
      </c>
      <c r="F8" s="56" t="s">
        <v>43</v>
      </c>
      <c r="G8" s="56" t="s">
        <v>49</v>
      </c>
      <c r="H8" s="74"/>
      <c r="I8" s="67"/>
      <c r="J8" s="67"/>
      <c r="K8" s="67"/>
      <c r="L8" s="67"/>
      <c r="M8" s="67"/>
      <c r="N8" s="67"/>
      <c r="O8" s="67"/>
      <c r="P8" s="69"/>
      <c r="Q8" s="65"/>
      <c r="R8" s="67"/>
      <c r="S8" s="69"/>
    </row>
    <row r="9" spans="1:19" s="16" customFormat="1" ht="15.75" customHeight="1" x14ac:dyDescent="0.25">
      <c r="A9" s="63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63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63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63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63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63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63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63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63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63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63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63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63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63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63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63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63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63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63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63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63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63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63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63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63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63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63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63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63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63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63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63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63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63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63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63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63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63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63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63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63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63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63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63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63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63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63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63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63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63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63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63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63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63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63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63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63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63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63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63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63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63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63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63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63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63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63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63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63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63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63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63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63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63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63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63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63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63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63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63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63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63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63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63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63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63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63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63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63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63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63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63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63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63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63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63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63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63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63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63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63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63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63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63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63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63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63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63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63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63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63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63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63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63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63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63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63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63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63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63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63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63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63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63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63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63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63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63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63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63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63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63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63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63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63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63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63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63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63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63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63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63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63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63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63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63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63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420015.1</v>
      </c>
      <c r="K155" s="23">
        <f>65237.4+14956.4+16693.7</f>
        <v>96887.5</v>
      </c>
      <c r="L155" s="17">
        <v>31920.1</v>
      </c>
      <c r="M155" s="17">
        <v>2013.3</v>
      </c>
      <c r="N155" s="17">
        <v>261170.6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3032071.8000000003</v>
      </c>
    </row>
    <row r="156" spans="1:19" s="16" customFormat="1" x14ac:dyDescent="0.25">
      <c r="A156" s="63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63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16" customFormat="1" x14ac:dyDescent="0.25">
      <c r="A158" s="63">
        <v>44012</v>
      </c>
      <c r="B158" s="23">
        <f>977338.4+22228</f>
        <v>999566.4</v>
      </c>
      <c r="C158" s="23">
        <v>544257.6</v>
      </c>
      <c r="D158" s="26">
        <f>140066.8+18516.8</f>
        <v>158583.59999999998</v>
      </c>
      <c r="E158" s="26">
        <f>38666.5+58.4</f>
        <v>38724.9</v>
      </c>
      <c r="F158" s="26">
        <v>48625.599999999999</v>
      </c>
      <c r="G158" s="26">
        <v>965.4</v>
      </c>
      <c r="H158" s="17">
        <v>12187.100000000002</v>
      </c>
      <c r="I158" s="17">
        <v>2374.9</v>
      </c>
      <c r="J158" s="17">
        <v>411333</v>
      </c>
      <c r="K158" s="23">
        <f>39095.6+11963.7+12321.6</f>
        <v>63380.9</v>
      </c>
      <c r="L158" s="17">
        <v>28888.899999999998</v>
      </c>
      <c r="M158" s="17">
        <v>1210.8999999999999</v>
      </c>
      <c r="N158" s="17">
        <v>277077.40000000002</v>
      </c>
      <c r="O158" s="19">
        <v>358684.4</v>
      </c>
      <c r="P158" s="20">
        <v>90832.3</v>
      </c>
      <c r="Q158" s="25">
        <f>11.8+2922.5+563.6-2529.2-31.4-15.9</f>
        <v>921.40000000000032</v>
      </c>
      <c r="R158" s="26">
        <f>79835.9+79765.3+2201.1-11963.7-22228</f>
        <v>127610.6</v>
      </c>
      <c r="S158" s="19">
        <f t="shared" ref="S158" si="5">SUM(B158:R158)</f>
        <v>3165225.2999999993</v>
      </c>
    </row>
    <row r="159" spans="1:19" s="16" customFormat="1" x14ac:dyDescent="0.25">
      <c r="A159" s="63">
        <v>44043</v>
      </c>
      <c r="B159" s="23">
        <f>951734.9+13911.4</f>
        <v>965646.3</v>
      </c>
      <c r="C159" s="23">
        <v>595768.19999999995</v>
      </c>
      <c r="D159" s="26">
        <f>149833.7+16804.7</f>
        <v>166638.40000000002</v>
      </c>
      <c r="E159" s="26">
        <f>34998.2+58.4</f>
        <v>35056.6</v>
      </c>
      <c r="F159" s="26">
        <v>49373.5</v>
      </c>
      <c r="G159" s="26">
        <v>918.40000000000009</v>
      </c>
      <c r="H159" s="17">
        <v>4915.0999999999995</v>
      </c>
      <c r="I159" s="17">
        <v>1791.5</v>
      </c>
      <c r="J159" s="17">
        <v>414781.3</v>
      </c>
      <c r="K159" s="23">
        <f>53088.6+12001+8350.1</f>
        <v>73439.7</v>
      </c>
      <c r="L159" s="17">
        <v>33471.1</v>
      </c>
      <c r="M159" s="17">
        <v>1187.0999999999999</v>
      </c>
      <c r="N159" s="17">
        <v>279283.7</v>
      </c>
      <c r="O159" s="19">
        <v>357981.4</v>
      </c>
      <c r="P159" s="20">
        <v>107807</v>
      </c>
      <c r="Q159" s="25">
        <f>7.3+16485.9+851.6-10003.6-31.4-242.1</f>
        <v>7067.6999999999989</v>
      </c>
      <c r="R159" s="26">
        <f>71615.7+81342.5+2448.4-12001-13911.4</f>
        <v>129494.20000000001</v>
      </c>
      <c r="S159" s="19">
        <f t="shared" ref="S159:S160" si="6">SUM(B159:R159)</f>
        <v>3224621.2000000007</v>
      </c>
    </row>
    <row r="160" spans="1:19" s="16" customFormat="1" x14ac:dyDescent="0.25">
      <c r="A160" s="63">
        <v>44074</v>
      </c>
      <c r="B160" s="23">
        <f>990021.1+14934</f>
        <v>1004955.1</v>
      </c>
      <c r="C160" s="23">
        <v>604738.80000000005</v>
      </c>
      <c r="D160" s="26">
        <f>151468.8+16898.3</f>
        <v>168367.09999999998</v>
      </c>
      <c r="E160" s="26">
        <f>32336.5+58.4</f>
        <v>32394.9</v>
      </c>
      <c r="F160" s="26">
        <v>43572.899999999994</v>
      </c>
      <c r="G160" s="26">
        <v>953.20000000000016</v>
      </c>
      <c r="H160" s="17">
        <v>3871.8000000000006</v>
      </c>
      <c r="I160" s="17">
        <v>0</v>
      </c>
      <c r="J160" s="17">
        <v>454791.89999999997</v>
      </c>
      <c r="K160" s="23">
        <f>36104.1+12869.6+3777.4</f>
        <v>52751.1</v>
      </c>
      <c r="L160" s="17">
        <v>33518.099999999991</v>
      </c>
      <c r="M160" s="17">
        <v>1203.4000000000001</v>
      </c>
      <c r="N160" s="17">
        <v>263229.29999999993</v>
      </c>
      <c r="O160" s="19">
        <v>358842.89999999997</v>
      </c>
      <c r="P160" s="20">
        <v>119072.00000000001</v>
      </c>
      <c r="Q160" s="25">
        <f>6.5+9989.1+871.1-3753.8-31.4-0</f>
        <v>7081.5000000000009</v>
      </c>
      <c r="R160" s="26">
        <f>76331.1+83467.9+2393.2-12869.6-14934</f>
        <v>134388.6</v>
      </c>
      <c r="S160" s="19">
        <f t="shared" si="6"/>
        <v>3283732.5999999996</v>
      </c>
    </row>
    <row r="161" spans="1:19" s="16" customFormat="1" x14ac:dyDescent="0.25">
      <c r="A161" s="63">
        <v>44104</v>
      </c>
      <c r="B161" s="23">
        <f>1087600.6+17969.8</f>
        <v>1105570.4000000001</v>
      </c>
      <c r="C161" s="23">
        <f>574223.4+118.2+2167+21378.5+5392.5</f>
        <v>603279.6</v>
      </c>
      <c r="D161" s="26">
        <f>155734.1+13918+39.8+1487.6+1283.3</f>
        <v>172462.8</v>
      </c>
      <c r="E161" s="26">
        <f>34287.7+58.4</f>
        <v>34346.1</v>
      </c>
      <c r="F161" s="26">
        <v>38828.9</v>
      </c>
      <c r="G161" s="26">
        <v>845.40000000000009</v>
      </c>
      <c r="H161" s="17">
        <v>3097.2999999999997</v>
      </c>
      <c r="I161" s="17">
        <v>3666.3</v>
      </c>
      <c r="J161" s="17">
        <v>360531.8</v>
      </c>
      <c r="K161" s="23">
        <f>40194.7+13712.3+18796.8+66</f>
        <v>72769.8</v>
      </c>
      <c r="L161" s="17">
        <v>16865.2</v>
      </c>
      <c r="M161" s="17">
        <f>8692.2+17902.1</f>
        <v>26594.3</v>
      </c>
      <c r="N161" s="17">
        <f>289503.6+550+195.5</f>
        <v>290249.09999999998</v>
      </c>
      <c r="O161" s="19">
        <v>373196.39999999997</v>
      </c>
      <c r="P161" s="20">
        <v>132637.1</v>
      </c>
      <c r="Q161" s="25">
        <f>45.3+2.1+884.1-43.7-31.4-0</f>
        <v>856.4</v>
      </c>
      <c r="R161" s="26">
        <f>85068.9+84622.2+2137.4-13712.3-17969.8</f>
        <v>140146.4</v>
      </c>
      <c r="S161" s="19">
        <f t="shared" ref="S161" si="7">SUM(B161:R161)</f>
        <v>3375943.3</v>
      </c>
    </row>
    <row r="162" spans="1:19" s="16" customFormat="1" x14ac:dyDescent="0.25">
      <c r="A162" s="63">
        <v>44135</v>
      </c>
      <c r="B162" s="23">
        <f>1073574.8+19256.1</f>
        <v>1092830.9000000001</v>
      </c>
      <c r="C162" s="23">
        <f>589405.9+118.2+2182.1+22632.4+5319.8</f>
        <v>619658.4</v>
      </c>
      <c r="D162" s="26">
        <f>155958.2+15616.7+68.8+2584.4+190.7</f>
        <v>174418.80000000002</v>
      </c>
      <c r="E162" s="26">
        <f>41615.7+58.4</f>
        <v>41674.1</v>
      </c>
      <c r="F162" s="26">
        <v>41701</v>
      </c>
      <c r="G162" s="26">
        <v>889.3</v>
      </c>
      <c r="H162" s="17">
        <v>2958.5</v>
      </c>
      <c r="I162" s="17">
        <f>0+3660.2</f>
        <v>3660.2</v>
      </c>
      <c r="J162" s="17">
        <v>325327.8</v>
      </c>
      <c r="K162" s="23">
        <f>38061+14067.3+4078.3+66</f>
        <v>56272.600000000006</v>
      </c>
      <c r="L162" s="17">
        <v>26422.3</v>
      </c>
      <c r="M162" s="17">
        <f>8683.3+17947.8</f>
        <v>26631.1</v>
      </c>
      <c r="N162" s="17">
        <f>303443+558.9+72.7</f>
        <v>304074.60000000003</v>
      </c>
      <c r="O162" s="19">
        <v>373149.7</v>
      </c>
      <c r="P162" s="20">
        <v>143089.90000000002</v>
      </c>
      <c r="Q162" s="25">
        <f>819.8+24663+801.7-23994.9-31.4-95</f>
        <v>2163.1999999999985</v>
      </c>
      <c r="R162" s="26">
        <f>84483+80490.5+2466.6-14067.3-19256.1</f>
        <v>134116.70000000001</v>
      </c>
      <c r="S162" s="19">
        <f t="shared" ref="S162:S163" si="8">SUM(B162:R162)</f>
        <v>3369039.100000001</v>
      </c>
    </row>
    <row r="163" spans="1:19" s="16" customFormat="1" x14ac:dyDescent="0.25">
      <c r="A163" s="63">
        <v>44165</v>
      </c>
      <c r="B163" s="23">
        <f>1098173.6+22237.5</f>
        <v>1120411.1000000001</v>
      </c>
      <c r="C163" s="23">
        <f>598457.1+118.2+2139.8+21280.5+5252.5</f>
        <v>627248.1</v>
      </c>
      <c r="D163" s="26">
        <f>157437.2+14397+69.9+2561.2+241.4</f>
        <v>174706.7</v>
      </c>
      <c r="E163" s="26">
        <f>45966.5+58.4</f>
        <v>46024.9</v>
      </c>
      <c r="F163" s="26">
        <v>39951.1</v>
      </c>
      <c r="G163" s="26">
        <v>774.00000000000011</v>
      </c>
      <c r="H163" s="17">
        <v>4531.3999999999996</v>
      </c>
      <c r="I163" s="17">
        <f>6000.3+3664.8</f>
        <v>9665.1</v>
      </c>
      <c r="J163" s="17">
        <v>318574.8</v>
      </c>
      <c r="K163" s="23">
        <f>42394.6+14836.2+4903.4+66</f>
        <v>62200.200000000004</v>
      </c>
      <c r="L163" s="17">
        <v>19618.599999999999</v>
      </c>
      <c r="M163" s="17">
        <f>8905.8+8826.6</f>
        <v>17732.400000000001</v>
      </c>
      <c r="N163" s="17">
        <f>322797.5+562.6+74.6</f>
        <v>323434.69999999995</v>
      </c>
      <c r="O163" s="19">
        <v>373229.09999999992</v>
      </c>
      <c r="P163" s="20">
        <v>151983.99999999997</v>
      </c>
      <c r="Q163" s="25">
        <f>84.8+12000+875+1.4-8349.5-31.4-0</f>
        <v>4580.2999999999993</v>
      </c>
      <c r="R163" s="26">
        <f>88268.9+80032+3732.5-14836.2-22237.5</f>
        <v>134959.69999999998</v>
      </c>
      <c r="S163" s="19">
        <f t="shared" si="8"/>
        <v>3429626.2000000007</v>
      </c>
    </row>
    <row r="164" spans="1:19" s="16" customFormat="1" x14ac:dyDescent="0.25">
      <c r="A164" s="63">
        <v>44196</v>
      </c>
      <c r="B164" s="23">
        <f>1127406.1+14327.1</f>
        <v>1141733.2000000002</v>
      </c>
      <c r="C164" s="23">
        <f>612431.2+3166.9+2942.3+21501.2+5260.4</f>
        <v>645302</v>
      </c>
      <c r="D164" s="26">
        <f>158492+13303+71.2+7277+232.4</f>
        <v>179375.6</v>
      </c>
      <c r="E164" s="26">
        <f>87099.3+58.4</f>
        <v>87157.7</v>
      </c>
      <c r="F164" s="26">
        <v>44679.6</v>
      </c>
      <c r="G164" s="26">
        <v>899.49999999999989</v>
      </c>
      <c r="H164" s="17">
        <v>3485.6</v>
      </c>
      <c r="I164" s="17">
        <f>0+3667.1</f>
        <v>3667.1</v>
      </c>
      <c r="J164" s="17">
        <v>296859.40000000008</v>
      </c>
      <c r="K164" s="23">
        <f>53343.2+20079.5+26571.3+66</f>
        <v>100060</v>
      </c>
      <c r="L164" s="17">
        <v>22821.599999999999</v>
      </c>
      <c r="M164" s="17">
        <f>13386.5+0</f>
        <v>13386.5</v>
      </c>
      <c r="N164" s="17">
        <f>307050.9+560.2+76.7</f>
        <v>307687.80000000005</v>
      </c>
      <c r="O164" s="19">
        <v>375585</v>
      </c>
      <c r="P164" s="20">
        <v>158256</v>
      </c>
      <c r="Q164" s="25">
        <f>84.4+2023.3+600.1+0-2083.8-31.4-0</f>
        <v>592.59999999999957</v>
      </c>
      <c r="R164" s="26">
        <f>85368.1+75821.6+2271.8-20079.5-14327.1</f>
        <v>129054.9</v>
      </c>
      <c r="S164" s="19">
        <f t="shared" ref="S164:S166" si="9">SUM(B164:R164)</f>
        <v>3510604.1000000006</v>
      </c>
    </row>
    <row r="165" spans="1:19" s="16" customFormat="1" x14ac:dyDescent="0.25">
      <c r="A165" s="63">
        <v>44227</v>
      </c>
      <c r="B165" s="23">
        <f>1156864.7+22078.1</f>
        <v>1178942.8</v>
      </c>
      <c r="C165" s="23">
        <f>611565.3+3166.9+3279.2+21221.8+5393.1</f>
        <v>644626.30000000005</v>
      </c>
      <c r="D165" s="26">
        <f>163496.6+14284.4+70.7+2631.5+232.8</f>
        <v>180716</v>
      </c>
      <c r="E165" s="26">
        <f>62265.2+58.4</f>
        <v>62323.6</v>
      </c>
      <c r="F165" s="26">
        <v>48993.5</v>
      </c>
      <c r="G165" s="26">
        <v>836.00000000000011</v>
      </c>
      <c r="H165" s="17">
        <v>3073.7</v>
      </c>
      <c r="I165" s="17">
        <f>0+3458.8</f>
        <v>3458.8</v>
      </c>
      <c r="J165" s="17">
        <v>299135.7</v>
      </c>
      <c r="K165" s="23">
        <f>52942.4+17532.6+10064.4+66</f>
        <v>80605.399999999994</v>
      </c>
      <c r="L165" s="17">
        <v>29471.5</v>
      </c>
      <c r="M165" s="17">
        <f>12980.9+3483.9</f>
        <v>16464.8</v>
      </c>
      <c r="N165" s="17">
        <f>338899.1+561.3+75.7</f>
        <v>339536.1</v>
      </c>
      <c r="O165" s="19">
        <v>381978.39999999997</v>
      </c>
      <c r="P165" s="20">
        <v>167858.40000000002</v>
      </c>
      <c r="Q165" s="25">
        <f>260.8+13036.1+666.2+0-7257.9-31.4-8000</f>
        <v>-1326.1999999999989</v>
      </c>
      <c r="R165" s="26">
        <f>92750+76211.7+2857-17532.6-22078.1</f>
        <v>132208</v>
      </c>
      <c r="S165" s="19">
        <f t="shared" si="9"/>
        <v>3568902.8</v>
      </c>
    </row>
    <row r="166" spans="1:19" s="16" customFormat="1" x14ac:dyDescent="0.25">
      <c r="A166" s="63">
        <v>44255</v>
      </c>
      <c r="B166" s="23">
        <f>1186153.3+20096.1</f>
        <v>1206249.4000000001</v>
      </c>
      <c r="C166" s="23">
        <f>630989.3+3166.9+3382.7+23513.2+5439.7</f>
        <v>666491.79999999993</v>
      </c>
      <c r="D166" s="26">
        <f>163269.2+15782.8+71+4599.2+233</f>
        <v>183955.20000000001</v>
      </c>
      <c r="E166" s="26">
        <f>58382.2+58.4</f>
        <v>58440.6</v>
      </c>
      <c r="F166" s="26">
        <v>49556.6</v>
      </c>
      <c r="G166" s="26">
        <v>1021.4</v>
      </c>
      <c r="H166" s="17">
        <v>3603.9</v>
      </c>
      <c r="I166" s="17">
        <f>0+3460.1</f>
        <v>3460.1</v>
      </c>
      <c r="J166" s="17">
        <v>293901.2</v>
      </c>
      <c r="K166" s="23">
        <f>49096.2+15275.7+8633.5+33.5</f>
        <v>73038.899999999994</v>
      </c>
      <c r="L166" s="17">
        <v>29101.7</v>
      </c>
      <c r="M166" s="17">
        <f>25902+19081.4</f>
        <v>44983.4</v>
      </c>
      <c r="N166" s="17">
        <f>328359.3+559+75.7</f>
        <v>328994</v>
      </c>
      <c r="O166" s="19">
        <v>382766.29999999993</v>
      </c>
      <c r="P166" s="20">
        <v>177366.7</v>
      </c>
      <c r="Q166" s="25">
        <f>83.8+8088.2+1133.8+0-8083.7-31.4-0</f>
        <v>1190.6999999999994</v>
      </c>
      <c r="R166" s="26">
        <f>89761.7+76663.7+4368.6-15275.7-20096.1</f>
        <v>135422.19999999998</v>
      </c>
      <c r="S166" s="19">
        <f t="shared" si="9"/>
        <v>3639544.1000000006</v>
      </c>
    </row>
    <row r="167" spans="1:19" s="16" customFormat="1" x14ac:dyDescent="0.25">
      <c r="A167" s="63">
        <v>44286</v>
      </c>
      <c r="B167" s="23">
        <f>1179405.1+22815.2</f>
        <v>1202220.3</v>
      </c>
      <c r="C167" s="23">
        <f>649243.4+3077.3+2269.7+24359.6+5525.5</f>
        <v>684475.5</v>
      </c>
      <c r="D167" s="26">
        <f>169012.1+16489.4+29.4+2310.8+367.2</f>
        <v>188208.9</v>
      </c>
      <c r="E167" s="26">
        <f>72990.8+58.4</f>
        <v>73049.2</v>
      </c>
      <c r="F167" s="26">
        <v>52828.2</v>
      </c>
      <c r="G167" s="26">
        <v>897.49999999999989</v>
      </c>
      <c r="H167" s="17">
        <v>3049.4</v>
      </c>
      <c r="I167" s="17">
        <v>3000.6</v>
      </c>
      <c r="J167" s="17">
        <v>286862.39999999997</v>
      </c>
      <c r="K167" s="23">
        <f>61106.5+15244.8+22791.8+34</f>
        <v>99177.1</v>
      </c>
      <c r="L167" s="17">
        <v>28206.799999999996</v>
      </c>
      <c r="M167" s="17">
        <f>1065.5+21080.2</f>
        <v>22145.7</v>
      </c>
      <c r="N167" s="17">
        <f>318141.6+563.7+73.8</f>
        <v>318779.09999999998</v>
      </c>
      <c r="O167" s="19">
        <v>449838.1</v>
      </c>
      <c r="P167" s="20">
        <v>90021.900000000009</v>
      </c>
      <c r="Q167" s="25">
        <f>19.3+18932.8+1378.7+0+96.3-16822.7-31.4-0</f>
        <v>3572.9999999999977</v>
      </c>
      <c r="R167" s="26">
        <f>93769.6+77293.7+3533.4-15244.8-22815.2</f>
        <v>136536.69999999998</v>
      </c>
      <c r="S167" s="19">
        <f t="shared" ref="S167:S171" si="10">SUM(B167:R167)</f>
        <v>3642870.4000000004</v>
      </c>
    </row>
    <row r="168" spans="1:19" s="16" customFormat="1" x14ac:dyDescent="0.25">
      <c r="A168" s="63">
        <v>44316</v>
      </c>
      <c r="B168" s="23">
        <f>1165726.1+19303.2</f>
        <v>1185029.3</v>
      </c>
      <c r="C168" s="23">
        <f>654628.5+118.2+2446+27550.3+5750.2</f>
        <v>690493.2</v>
      </c>
      <c r="D168" s="26">
        <f>160186.1+17278.4+29.4+2546.1+221.9</f>
        <v>180261.9</v>
      </c>
      <c r="E168" s="26">
        <f>69984.7+58.4</f>
        <v>70043.099999999991</v>
      </c>
      <c r="F168" s="26">
        <v>54483.3</v>
      </c>
      <c r="G168" s="26">
        <v>889.09999999999991</v>
      </c>
      <c r="H168" s="17">
        <v>2964.2</v>
      </c>
      <c r="I168" s="17">
        <v>3008.6</v>
      </c>
      <c r="J168" s="17">
        <v>328555.7</v>
      </c>
      <c r="K168" s="23">
        <f>80875.2+12787.5+6824.5+34</f>
        <v>100521.2</v>
      </c>
      <c r="L168" s="17">
        <v>43346.8</v>
      </c>
      <c r="M168" s="17">
        <f>9208.9+6539.5</f>
        <v>15748.4</v>
      </c>
      <c r="N168" s="17">
        <f>324089+567.8+76.4</f>
        <v>324733.2</v>
      </c>
      <c r="O168" s="19">
        <v>451250.7</v>
      </c>
      <c r="P168" s="20">
        <v>99618.6</v>
      </c>
      <c r="Q168" s="25">
        <f>627.5+32146.2+1049.9+0+95.6-32088.7-31.4-0</f>
        <v>1799.0999999999963</v>
      </c>
      <c r="R168" s="26">
        <f>83782.4+77247.7+3262.1-12787.5-19303.2</f>
        <v>132201.49999999997</v>
      </c>
      <c r="S168" s="19">
        <f t="shared" si="10"/>
        <v>3684947.9000000008</v>
      </c>
    </row>
    <row r="169" spans="1:19" s="16" customFormat="1" x14ac:dyDescent="0.25">
      <c r="A169" s="63">
        <v>44347</v>
      </c>
      <c r="B169" s="23">
        <f>1217732.2+22538</f>
        <v>1240270.2</v>
      </c>
      <c r="C169" s="23">
        <f>644248.8+118.2+2178+24970.6+5579.1</f>
        <v>677094.7</v>
      </c>
      <c r="D169" s="26">
        <f>164101.5+17547.3+29.6+2653.9+204.6</f>
        <v>184536.9</v>
      </c>
      <c r="E169" s="26">
        <f>69399.1+58.4</f>
        <v>69457.5</v>
      </c>
      <c r="F169" s="26">
        <v>59127.6</v>
      </c>
      <c r="G169" s="26">
        <v>941.69999999999993</v>
      </c>
      <c r="H169" s="17">
        <v>3547.2000000000003</v>
      </c>
      <c r="I169" s="17">
        <v>3165.5</v>
      </c>
      <c r="J169" s="17">
        <v>337369.5</v>
      </c>
      <c r="K169" s="23">
        <f>79799.7+14037.5+6418.3+34</f>
        <v>100289.5</v>
      </c>
      <c r="L169" s="17">
        <v>37618.800000000003</v>
      </c>
      <c r="M169" s="17">
        <f>7287.9+6568</f>
        <v>13855.9</v>
      </c>
      <c r="N169" s="17">
        <f>320733.5+560.3+77</f>
        <v>321370.8</v>
      </c>
      <c r="O169" s="19">
        <v>457617.39999999997</v>
      </c>
      <c r="P169" s="20">
        <v>103628</v>
      </c>
      <c r="Q169" s="25">
        <f>1438+42653.8+1463.3+0+95.6-31710.2-31.4-10922.2</f>
        <v>2986.9000000000033</v>
      </c>
      <c r="R169" s="26">
        <f>93336.4+78107.8+7087.4-14037.5-22538</f>
        <v>141956.1</v>
      </c>
      <c r="S169" s="19">
        <f t="shared" si="10"/>
        <v>3754834.1999999997</v>
      </c>
    </row>
    <row r="170" spans="1:19" s="16" customFormat="1" x14ac:dyDescent="0.25">
      <c r="A170" s="63">
        <v>44377</v>
      </c>
      <c r="B170" s="23">
        <f>1258468.3+28354.5</f>
        <v>1286822.8</v>
      </c>
      <c r="C170" s="23">
        <f>687257.1+28+2086.8+25075.7+7166.6</f>
        <v>721614.2</v>
      </c>
      <c r="D170" s="26">
        <f>169065.8+17375.6+29.6+2822.7+205.1</f>
        <v>189498.80000000002</v>
      </c>
      <c r="E170" s="26">
        <f>83237.9+58.4</f>
        <v>83296.299999999988</v>
      </c>
      <c r="F170" s="26">
        <v>68262</v>
      </c>
      <c r="G170" s="26">
        <v>928.99999999999989</v>
      </c>
      <c r="H170" s="17">
        <v>4514.8000000000011</v>
      </c>
      <c r="I170" s="17">
        <v>3152.2999999999997</v>
      </c>
      <c r="J170" s="17">
        <v>326958.8</v>
      </c>
      <c r="K170" s="23">
        <f>66687.1+14707.3+25634.2+34</f>
        <v>107062.6</v>
      </c>
      <c r="L170" s="17">
        <v>43190.3</v>
      </c>
      <c r="M170" s="17">
        <f>3703.1+112.2</f>
        <v>3815.2999999999997</v>
      </c>
      <c r="N170" s="17">
        <f>364992.7+571.2+75.6</f>
        <v>365639.5</v>
      </c>
      <c r="O170" s="19">
        <v>458055</v>
      </c>
      <c r="P170" s="20">
        <v>118526.59999999999</v>
      </c>
      <c r="Q170" s="25">
        <f>1771.8+64838.6+1311.3+0+95.6-61653.4-31.4-0</f>
        <v>6332.5000000000018</v>
      </c>
      <c r="R170" s="26">
        <f>102078.3+77680.4+8612.7-14707.3-28354.5</f>
        <v>145309.60000000003</v>
      </c>
      <c r="S170" s="19">
        <f t="shared" si="10"/>
        <v>3932980.399999999</v>
      </c>
    </row>
    <row r="171" spans="1:19" s="16" customFormat="1" x14ac:dyDescent="0.25">
      <c r="A171" s="63">
        <v>44408</v>
      </c>
      <c r="B171" s="23">
        <f>1325842+20031</f>
        <v>1345873</v>
      </c>
      <c r="C171" s="23">
        <f>695466+28+2064.9+25638.7+7109.4</f>
        <v>730307</v>
      </c>
      <c r="D171" s="26">
        <f>167960.3+19952+29.7+2922.3+235.4</f>
        <v>191099.69999999998</v>
      </c>
      <c r="E171" s="26">
        <f>89078.7+58.4</f>
        <v>89137.099999999991</v>
      </c>
      <c r="F171" s="26">
        <v>77587.900000000009</v>
      </c>
      <c r="G171" s="26">
        <v>910.59999999999991</v>
      </c>
      <c r="H171" s="17">
        <v>1754.1999999999998</v>
      </c>
      <c r="I171" s="17">
        <v>3179.2</v>
      </c>
      <c r="J171" s="17">
        <v>338519.60000000003</v>
      </c>
      <c r="K171" s="23">
        <f>100225+16319.2+7670.7+34</f>
        <v>124248.9</v>
      </c>
      <c r="L171" s="17">
        <v>47449.5</v>
      </c>
      <c r="M171" s="17">
        <f>1172.1+112.4</f>
        <v>1284.5</v>
      </c>
      <c r="N171" s="17">
        <f>389182.5+590.2+75.6</f>
        <v>389848.3</v>
      </c>
      <c r="O171" s="19">
        <v>458032.69999999995</v>
      </c>
      <c r="P171" s="20">
        <v>134403.59999999998</v>
      </c>
      <c r="Q171" s="25">
        <f>176.8+83627.9+1237.6+0+95.6-65612.2-31.4-0</f>
        <v>19494.30000000001</v>
      </c>
      <c r="R171" s="26">
        <f>91467.9+79854.9+7381.3-16319.2-20031</f>
        <v>142353.89999999997</v>
      </c>
      <c r="S171" s="19">
        <f t="shared" si="10"/>
        <v>4095484</v>
      </c>
    </row>
    <row r="172" spans="1:19" s="16" customFormat="1" x14ac:dyDescent="0.25">
      <c r="A172" s="63">
        <v>44439</v>
      </c>
      <c r="B172" s="23">
        <f>1351091.6+20885.8</f>
        <v>1371977.4000000001</v>
      </c>
      <c r="C172" s="23">
        <f>736834.6+28+1969.8+24964.5+6559.1</f>
        <v>770356</v>
      </c>
      <c r="D172" s="26">
        <f>169208.9+15134.9+29.8+2869.4+226</f>
        <v>187468.99999999997</v>
      </c>
      <c r="E172" s="26">
        <f>71212+58.4</f>
        <v>71270.399999999994</v>
      </c>
      <c r="F172" s="26">
        <v>71812.5</v>
      </c>
      <c r="G172" s="26">
        <v>928.80000000000007</v>
      </c>
      <c r="H172" s="17">
        <v>5319.8</v>
      </c>
      <c r="I172" s="17">
        <v>3140.6</v>
      </c>
      <c r="J172" s="17">
        <v>373225.1</v>
      </c>
      <c r="K172" s="23">
        <f>6499.5+84682.2+20036.9+33.5</f>
        <v>111252.1</v>
      </c>
      <c r="L172" s="17">
        <v>46693.1</v>
      </c>
      <c r="M172" s="17">
        <f>11437.3+112.8</f>
        <v>11550.099999999999</v>
      </c>
      <c r="N172" s="17">
        <f>391095.4+558.9+75.5</f>
        <v>391729.80000000005</v>
      </c>
      <c r="O172" s="19">
        <v>457936.1</v>
      </c>
      <c r="P172" s="20">
        <v>149814.5</v>
      </c>
      <c r="Q172" s="25">
        <f>61.4+88887+95.6+702.9-88937.9-31.4-0</f>
        <v>777.6</v>
      </c>
      <c r="R172" s="26">
        <f>96668.5+79329.3+8004.3-20036.9-20885.8</f>
        <v>143079.4</v>
      </c>
      <c r="S172" s="19">
        <f t="shared" ref="S172:S173" si="11">SUM(B172:R172)</f>
        <v>4168332.3000000003</v>
      </c>
    </row>
    <row r="173" spans="1:19" s="16" customFormat="1" x14ac:dyDescent="0.25">
      <c r="A173" s="63">
        <v>44469</v>
      </c>
      <c r="B173" s="23">
        <f>1331006.3+25434.6</f>
        <v>1356440.9000000001</v>
      </c>
      <c r="C173" s="23">
        <f>826341.7+28+1593.7+23899.6+97070.7</f>
        <v>948933.69999999984</v>
      </c>
      <c r="D173" s="26">
        <f>179380.7+17277.2+29.9+2761.8+266.7</f>
        <v>199716.30000000002</v>
      </c>
      <c r="E173" s="26">
        <f>66723.3+58.4</f>
        <v>66781.7</v>
      </c>
      <c r="F173" s="26">
        <v>82765.8</v>
      </c>
      <c r="G173" s="26">
        <v>967.6</v>
      </c>
      <c r="H173" s="17">
        <v>1248.8999999999999</v>
      </c>
      <c r="I173" s="17">
        <v>3180.1</v>
      </c>
      <c r="J173" s="17">
        <v>405892.60000000003</v>
      </c>
      <c r="K173" s="23">
        <f>17323.6+65573.6+19990+33.5</f>
        <v>102920.70000000001</v>
      </c>
      <c r="L173" s="17">
        <v>42789.2</v>
      </c>
      <c r="M173" s="17">
        <f>5181.3+1.9</f>
        <v>5183.2</v>
      </c>
      <c r="N173" s="17">
        <f>428600.9+564.5+74.3</f>
        <v>429239.7</v>
      </c>
      <c r="O173" s="19">
        <v>490103.5</v>
      </c>
      <c r="P173" s="20">
        <v>169591.2</v>
      </c>
      <c r="Q173" s="25">
        <f>2239.2+112349.7+95.6+593.1-113852.6-31.4-0</f>
        <v>1393.6</v>
      </c>
      <c r="R173" s="26">
        <f>111925.3+102326.1+6177.4-19990-25434.6</f>
        <v>175004.2</v>
      </c>
      <c r="S173" s="19">
        <f t="shared" si="11"/>
        <v>4482152.9000000004</v>
      </c>
    </row>
    <row r="174" spans="1:19" s="16" customFormat="1" x14ac:dyDescent="0.25">
      <c r="A174" s="63">
        <v>44500</v>
      </c>
      <c r="B174" s="23">
        <f>1345766.5+21537.8</f>
        <v>1367304.3</v>
      </c>
      <c r="C174" s="23">
        <f>822837+28+2195.7+23741.3+97673</f>
        <v>946475</v>
      </c>
      <c r="D174" s="26">
        <f>195035.4+18291.4+29.9+4405.5+297.4</f>
        <v>218059.59999999998</v>
      </c>
      <c r="E174" s="26">
        <f>76796.9+56.2</f>
        <v>76853.099999999991</v>
      </c>
      <c r="F174" s="26">
        <v>73682.2</v>
      </c>
      <c r="G174" s="26">
        <v>1001.8</v>
      </c>
      <c r="H174" s="17">
        <v>928.99999999999989</v>
      </c>
      <c r="I174" s="17">
        <f>0.3+3186.1</f>
        <v>3186.4</v>
      </c>
      <c r="J174" s="17">
        <v>405120.1</v>
      </c>
      <c r="K174" s="23">
        <f>77643.4+9211.4+19650.7+33.5</f>
        <v>106538.99999999999</v>
      </c>
      <c r="L174" s="17">
        <v>51896</v>
      </c>
      <c r="M174" s="17">
        <f>1220.2+1.9</f>
        <v>1222.1000000000001</v>
      </c>
      <c r="N174" s="17">
        <f>413228.7+565+74.9</f>
        <v>413868.60000000003</v>
      </c>
      <c r="O174" s="19">
        <v>490929.39999999997</v>
      </c>
      <c r="P174" s="20">
        <v>182962.2</v>
      </c>
      <c r="Q174" s="25">
        <f>785.3+109020.1+0+637.2-114866.2-31.4-51.8</f>
        <v>-4506.7999999999911</v>
      </c>
      <c r="R174" s="26">
        <f>110550.6+103617.9+5733.2-19650.7-21537.8</f>
        <v>178713.2</v>
      </c>
      <c r="S174" s="19">
        <f t="shared" ref="S174" si="12">SUM(B174:R174)</f>
        <v>4514235.2</v>
      </c>
    </row>
    <row r="175" spans="1:19" s="16" customFormat="1" x14ac:dyDescent="0.25">
      <c r="A175" s="63">
        <v>44501</v>
      </c>
      <c r="B175" s="23">
        <f>1315774.1+22048.4</f>
        <v>1337822.5</v>
      </c>
      <c r="C175" s="23">
        <f>838380.8+28+2805.9+40596.5+103581.6</f>
        <v>985392.8</v>
      </c>
      <c r="D175" s="26">
        <f>195739.4+18244+30+5414.2+318</f>
        <v>219745.6</v>
      </c>
      <c r="E175" s="26">
        <f>76156.7+58.4</f>
        <v>76215.099999999991</v>
      </c>
      <c r="F175" s="26">
        <v>77619.199999999997</v>
      </c>
      <c r="G175" s="26">
        <v>1247.2</v>
      </c>
      <c r="H175" s="17">
        <v>1463.4999999999998</v>
      </c>
      <c r="I175" s="17">
        <f>0.3+3195.2</f>
        <v>3195.5</v>
      </c>
      <c r="J175" s="17">
        <v>513831.50000000006</v>
      </c>
      <c r="K175" s="23">
        <f>73750.8+7601.6+20594.6+33.5</f>
        <v>101980.5</v>
      </c>
      <c r="L175" s="17">
        <v>44006.400000000001</v>
      </c>
      <c r="M175" s="17">
        <f>1217.3+1.9</f>
        <v>1219.2</v>
      </c>
      <c r="N175" s="17">
        <f>379174.2+511.3+72.9</f>
        <v>379758.4</v>
      </c>
      <c r="O175" s="19">
        <v>491601.4</v>
      </c>
      <c r="P175" s="20">
        <v>195444.99999999997</v>
      </c>
      <c r="Q175" s="25">
        <f>877+98225.6+0+657.1-99311.2-31.4-121.5</f>
        <v>295.60000000001457</v>
      </c>
      <c r="R175" s="26">
        <f>117004.5+105202.7+6297.7-20594.6-22048.4</f>
        <v>185861.90000000002</v>
      </c>
      <c r="S175" s="19">
        <f t="shared" ref="S175:S176" si="13">SUM(B175:R175)</f>
        <v>4616701.3000000007</v>
      </c>
    </row>
    <row r="176" spans="1:19" s="16" customFormat="1" x14ac:dyDescent="0.25">
      <c r="A176" s="63">
        <v>44532</v>
      </c>
      <c r="B176" s="23">
        <f>1283924.8+27990.2</f>
        <v>1311915</v>
      </c>
      <c r="C176" s="23">
        <f>852330.5+28+1975.4+32377.6+102712.6</f>
        <v>989424.1</v>
      </c>
      <c r="D176" s="26">
        <f>202367.6+17096.3+30.1+4686+1677.4</f>
        <v>225857.4</v>
      </c>
      <c r="E176" s="26">
        <f>62711.8+56.2</f>
        <v>62768</v>
      </c>
      <c r="F176" s="26">
        <v>88575.900000000009</v>
      </c>
      <c r="G176" s="26">
        <v>1237.9999999999998</v>
      </c>
      <c r="H176" s="17">
        <v>2437.7999999999997</v>
      </c>
      <c r="I176" s="17">
        <f>0+3014.6</f>
        <v>3014.6</v>
      </c>
      <c r="J176" s="17">
        <v>512988.39999999997</v>
      </c>
      <c r="K176" s="23">
        <f>66325.8+19507+24965.3+33.5</f>
        <v>110831.6</v>
      </c>
      <c r="L176" s="17">
        <v>33877.5</v>
      </c>
      <c r="M176" s="17">
        <f>4748.4+1.9</f>
        <v>4750.2999999999993</v>
      </c>
      <c r="N176" s="17">
        <f>365723.1+530+73.1</f>
        <v>366326.19999999995</v>
      </c>
      <c r="O176" s="19">
        <v>488669.49999999994</v>
      </c>
      <c r="P176" s="20">
        <v>205894.19999999998</v>
      </c>
      <c r="Q176" s="25">
        <f>1371.7+103004.7+0+3804.3-99945.6-31.4-59-1.4</f>
        <v>8143.299999999992</v>
      </c>
      <c r="R176" s="26">
        <f>123164.8+103326.9+7801.6-24965.3-27990.2</f>
        <v>181337.80000000002</v>
      </c>
      <c r="S176" s="19">
        <f t="shared" si="13"/>
        <v>4598049.5999999996</v>
      </c>
    </row>
    <row r="177" spans="1:21" s="43" customFormat="1" ht="18.75" x14ac:dyDescent="0.3">
      <c r="A177" s="40" t="s">
        <v>42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2"/>
      <c r="U177" s="16"/>
    </row>
    <row r="178" spans="1:21" s="16" customFormat="1" x14ac:dyDescent="0.25">
      <c r="O178" s="27"/>
      <c r="P178" s="27"/>
      <c r="Q178" s="28"/>
      <c r="R178" s="27"/>
      <c r="S178" s="27"/>
    </row>
    <row r="179" spans="1:21" s="8" customFormat="1" x14ac:dyDescent="0.25"/>
    <row r="180" spans="1:21" s="8" customFormat="1" x14ac:dyDescent="0.25"/>
    <row r="181" spans="1:21" s="8" customFormat="1" x14ac:dyDescent="0.25"/>
    <row r="182" spans="1:21" s="8" customFormat="1" x14ac:dyDescent="0.25"/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6"/>
  <sheetViews>
    <sheetView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A64" sqref="A64:XFD64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0" t="s">
        <v>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2" t="s">
        <v>46</v>
      </c>
      <c r="B7" s="68" t="s">
        <v>25</v>
      </c>
      <c r="C7" s="66" t="s">
        <v>43</v>
      </c>
      <c r="D7" s="74" t="s">
        <v>47</v>
      </c>
      <c r="E7" s="75" t="s">
        <v>48</v>
      </c>
      <c r="F7" s="75"/>
      <c r="G7" s="75"/>
      <c r="H7" s="74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35</v>
      </c>
      <c r="Q7" s="64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3"/>
      <c r="B8" s="69"/>
      <c r="C8" s="67"/>
      <c r="D8" s="74"/>
      <c r="E8" s="56" t="s">
        <v>25</v>
      </c>
      <c r="F8" s="56" t="s">
        <v>43</v>
      </c>
      <c r="G8" s="56" t="s">
        <v>49</v>
      </c>
      <c r="H8" s="74"/>
      <c r="I8" s="67"/>
      <c r="J8" s="67"/>
      <c r="K8" s="67"/>
      <c r="L8" s="67"/>
      <c r="M8" s="67"/>
      <c r="N8" s="67"/>
      <c r="O8" s="67"/>
      <c r="P8" s="69"/>
      <c r="Q8" s="65"/>
      <c r="R8" s="67"/>
      <c r="S8" s="69"/>
    </row>
    <row r="9" spans="1:19" s="16" customFormat="1" x14ac:dyDescent="0.25">
      <c r="A9" s="63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63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63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63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63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63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63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63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63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63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63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63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63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63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63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63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63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63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63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63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63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63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63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63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63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63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63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63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63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63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63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63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63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63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63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63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63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63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63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63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63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63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63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63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63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63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63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63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63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420015.1</v>
      </c>
      <c r="K57" s="23">
        <f>65237.4+14956.4+16693.7</f>
        <v>96887.5</v>
      </c>
      <c r="L57" s="17">
        <v>31920.1</v>
      </c>
      <c r="M57" s="17">
        <v>2013.3</v>
      </c>
      <c r="N57" s="17">
        <v>261170.6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3032071.8000000003</v>
      </c>
    </row>
    <row r="58" spans="1:19" s="16" customFormat="1" x14ac:dyDescent="0.25">
      <c r="A58" s="63">
        <v>44012</v>
      </c>
      <c r="B58" s="23">
        <f>977338.4+22228</f>
        <v>999566.4</v>
      </c>
      <c r="C58" s="23">
        <v>544257.6</v>
      </c>
      <c r="D58" s="26">
        <f>140066.8+18516.8</f>
        <v>158583.59999999998</v>
      </c>
      <c r="E58" s="26">
        <f>38666.5+58.4</f>
        <v>38724.9</v>
      </c>
      <c r="F58" s="26">
        <v>48625.599999999999</v>
      </c>
      <c r="G58" s="26">
        <v>965.4</v>
      </c>
      <c r="H58" s="17">
        <v>12187.100000000002</v>
      </c>
      <c r="I58" s="17">
        <v>2374.9</v>
      </c>
      <c r="J58" s="17">
        <v>411333</v>
      </c>
      <c r="K58" s="23">
        <f>39095.6+11963.7+12321.6</f>
        <v>63380.9</v>
      </c>
      <c r="L58" s="17">
        <v>28888.899999999998</v>
      </c>
      <c r="M58" s="17">
        <v>1210.8999999999999</v>
      </c>
      <c r="N58" s="17">
        <v>277077.40000000002</v>
      </c>
      <c r="O58" s="19">
        <v>358684.4</v>
      </c>
      <c r="P58" s="20">
        <v>90832.3</v>
      </c>
      <c r="Q58" s="25">
        <f>11.8+2922.5+563.6-2529.2-31.4-15.9</f>
        <v>921.40000000000032</v>
      </c>
      <c r="R58" s="26">
        <f>79835.9+79765.3+2201.1-11963.7-22228</f>
        <v>127610.6</v>
      </c>
      <c r="S58" s="19">
        <f t="shared" ref="S58" si="8">SUM(B58:R58)</f>
        <v>3165225.2999999993</v>
      </c>
    </row>
    <row r="59" spans="1:19" s="16" customFormat="1" x14ac:dyDescent="0.25">
      <c r="A59" s="63">
        <v>44104</v>
      </c>
      <c r="B59" s="23">
        <f>1087600.6+17969.8</f>
        <v>1105570.4000000001</v>
      </c>
      <c r="C59" s="23">
        <f>574223.4+118.2+2167+21378.5+5392.5</f>
        <v>603279.6</v>
      </c>
      <c r="D59" s="26">
        <f>155734.1+13918+39.8+1487.6+1283.3</f>
        <v>172462.8</v>
      </c>
      <c r="E59" s="26">
        <f>34287.7+58.4</f>
        <v>34346.1</v>
      </c>
      <c r="F59" s="26">
        <v>38828.9</v>
      </c>
      <c r="G59" s="26">
        <v>845.40000000000009</v>
      </c>
      <c r="H59" s="17">
        <v>3097.2999999999997</v>
      </c>
      <c r="I59" s="17">
        <v>3666.3</v>
      </c>
      <c r="J59" s="17">
        <v>360531.8</v>
      </c>
      <c r="K59" s="23">
        <f>40194.7+13712.3+18796.8+66</f>
        <v>72769.8</v>
      </c>
      <c r="L59" s="17">
        <v>16865.2</v>
      </c>
      <c r="M59" s="17">
        <f>8692.2+17902.1</f>
        <v>26594.3</v>
      </c>
      <c r="N59" s="17">
        <f>289503.6+550+195.5</f>
        <v>290249.09999999998</v>
      </c>
      <c r="O59" s="19">
        <v>373196.39999999997</v>
      </c>
      <c r="P59" s="20">
        <v>132637.1</v>
      </c>
      <c r="Q59" s="25">
        <f>45.3+2.1+884.1-43.7-31.4-0</f>
        <v>856.4</v>
      </c>
      <c r="R59" s="26">
        <f>85068.9+84622.2+2137.4-13712.3-17969.8</f>
        <v>140146.4</v>
      </c>
      <c r="S59" s="19">
        <f t="shared" ref="S59" si="9">SUM(B59:R59)</f>
        <v>3375943.3</v>
      </c>
    </row>
    <row r="60" spans="1:19" s="16" customFormat="1" x14ac:dyDescent="0.25">
      <c r="A60" s="63">
        <v>44196</v>
      </c>
      <c r="B60" s="23">
        <f>1127406.1+14327.1</f>
        <v>1141733.2000000002</v>
      </c>
      <c r="C60" s="23">
        <f>612431.2+3166.9+2942.3+21501.2+5260.4</f>
        <v>645302</v>
      </c>
      <c r="D60" s="26">
        <f>158492+13303+71.2+7277+232.4</f>
        <v>179375.6</v>
      </c>
      <c r="E60" s="26">
        <f>87099.3+58.4</f>
        <v>87157.7</v>
      </c>
      <c r="F60" s="26">
        <v>44679.6</v>
      </c>
      <c r="G60" s="26">
        <v>899.49999999999989</v>
      </c>
      <c r="H60" s="17">
        <v>3485.6</v>
      </c>
      <c r="I60" s="17">
        <f>0+3667.1</f>
        <v>3667.1</v>
      </c>
      <c r="J60" s="17">
        <v>296859.40000000008</v>
      </c>
      <c r="K60" s="23">
        <f>53343.2+20079.5+26571.3+66</f>
        <v>100060</v>
      </c>
      <c r="L60" s="17">
        <v>22821.599999999999</v>
      </c>
      <c r="M60" s="17">
        <f>13386.5+0</f>
        <v>13386.5</v>
      </c>
      <c r="N60" s="17">
        <f>307050.9+560.2+76.7</f>
        <v>307687.80000000005</v>
      </c>
      <c r="O60" s="19">
        <v>375585</v>
      </c>
      <c r="P60" s="20">
        <v>158256</v>
      </c>
      <c r="Q60" s="25">
        <f>84.4+2023.3+600.1+0-2083.8-31.4-0</f>
        <v>592.59999999999957</v>
      </c>
      <c r="R60" s="26">
        <f>85368.1+75821.6+2271.8-20079.5-14327.1</f>
        <v>129054.9</v>
      </c>
      <c r="S60" s="19">
        <f t="shared" ref="S60" si="10">SUM(B60:R60)</f>
        <v>3510604.1000000006</v>
      </c>
    </row>
    <row r="61" spans="1:19" s="16" customFormat="1" x14ac:dyDescent="0.25">
      <c r="A61" s="63">
        <v>44286</v>
      </c>
      <c r="B61" s="23">
        <f>1179405.1+22815.2</f>
        <v>1202220.3</v>
      </c>
      <c r="C61" s="23">
        <f>649243.4+3077.3+2269.7+24359.6+5525.5</f>
        <v>684475.5</v>
      </c>
      <c r="D61" s="26">
        <f>169012.1+16489.4+29.4+2310.8+367.2</f>
        <v>188208.9</v>
      </c>
      <c r="E61" s="26">
        <f>72990.8+58.4</f>
        <v>73049.2</v>
      </c>
      <c r="F61" s="26">
        <v>52828.2</v>
      </c>
      <c r="G61" s="26">
        <v>897.49999999999989</v>
      </c>
      <c r="H61" s="17">
        <v>3049.4</v>
      </c>
      <c r="I61" s="17">
        <v>3000.6</v>
      </c>
      <c r="J61" s="17">
        <v>286862.39999999997</v>
      </c>
      <c r="K61" s="23">
        <f>61106.5+15244.8+22791.8+34</f>
        <v>99177.1</v>
      </c>
      <c r="L61" s="17">
        <v>28206.799999999996</v>
      </c>
      <c r="M61" s="17">
        <f>1065.5+21080.2</f>
        <v>22145.7</v>
      </c>
      <c r="N61" s="17">
        <f>318141.6+563.7+73.8</f>
        <v>318779.09999999998</v>
      </c>
      <c r="O61" s="19">
        <v>449838.1</v>
      </c>
      <c r="P61" s="20">
        <v>90021.900000000009</v>
      </c>
      <c r="Q61" s="25">
        <f>19.3+18932.8+1378.7+0+96.3-16822.7-31.4-0</f>
        <v>3572.9999999999977</v>
      </c>
      <c r="R61" s="26">
        <f>93769.6+77293.7+3533.4-15244.8-22815.2</f>
        <v>136536.69999999998</v>
      </c>
      <c r="S61" s="19">
        <f t="shared" ref="S61:S62" si="11">SUM(B61:R61)</f>
        <v>3642870.4000000004</v>
      </c>
    </row>
    <row r="62" spans="1:19" s="16" customFormat="1" x14ac:dyDescent="0.25">
      <c r="A62" s="63">
        <v>44377</v>
      </c>
      <c r="B62" s="23">
        <f>1258468.3+28354.5</f>
        <v>1286822.8</v>
      </c>
      <c r="C62" s="23">
        <f>687257.1+28+2086.8+25075.7+7166.6</f>
        <v>721614.2</v>
      </c>
      <c r="D62" s="26">
        <f>169065.8+17375.6+29.6+2822.7+205.1</f>
        <v>189498.80000000002</v>
      </c>
      <c r="E62" s="26">
        <f>83237.9+58.4</f>
        <v>83296.299999999988</v>
      </c>
      <c r="F62" s="26">
        <v>68262</v>
      </c>
      <c r="G62" s="26">
        <v>928.99999999999989</v>
      </c>
      <c r="H62" s="17">
        <v>4514.8000000000011</v>
      </c>
      <c r="I62" s="17">
        <v>3152.2999999999997</v>
      </c>
      <c r="J62" s="17">
        <v>326958.8</v>
      </c>
      <c r="K62" s="23">
        <f>66687.1+14707.3+25634.2+34</f>
        <v>107062.6</v>
      </c>
      <c r="L62" s="17">
        <v>43190.3</v>
      </c>
      <c r="M62" s="17">
        <f>3703.1+112.2</f>
        <v>3815.2999999999997</v>
      </c>
      <c r="N62" s="17">
        <f>364992.7+571.2+75.6</f>
        <v>365639.5</v>
      </c>
      <c r="O62" s="19">
        <v>458055</v>
      </c>
      <c r="P62" s="20">
        <v>118526.59999999999</v>
      </c>
      <c r="Q62" s="25">
        <f>1771.8+64838.6+1311.3+0+95.6-61653.4-31.4-0</f>
        <v>6332.5000000000018</v>
      </c>
      <c r="R62" s="26">
        <f>102078.3+77680.4+8612.7-14707.3-28354.5</f>
        <v>145309.60000000003</v>
      </c>
      <c r="S62" s="19">
        <f t="shared" si="11"/>
        <v>3932980.399999999</v>
      </c>
    </row>
    <row r="63" spans="1:19" s="16" customFormat="1" x14ac:dyDescent="0.25">
      <c r="A63" s="63">
        <v>44469</v>
      </c>
      <c r="B63" s="23">
        <f>1331006.3+25434.6</f>
        <v>1356440.9000000001</v>
      </c>
      <c r="C63" s="23">
        <f>826341.7+28+1593.7+23899.6+97070.7</f>
        <v>948933.69999999984</v>
      </c>
      <c r="D63" s="26">
        <f>179380.7+17277.2+29.9+2761.8+266.7</f>
        <v>199716.30000000002</v>
      </c>
      <c r="E63" s="26">
        <f>66723.3+58.4</f>
        <v>66781.7</v>
      </c>
      <c r="F63" s="26">
        <v>82765.8</v>
      </c>
      <c r="G63" s="26">
        <v>967.6</v>
      </c>
      <c r="H63" s="17">
        <v>1248.8999999999999</v>
      </c>
      <c r="I63" s="17">
        <v>3180.1</v>
      </c>
      <c r="J63" s="17">
        <v>405892.60000000003</v>
      </c>
      <c r="K63" s="23">
        <f>17323.6+65573.6+19990+33.5</f>
        <v>102920.70000000001</v>
      </c>
      <c r="L63" s="17">
        <v>42789.2</v>
      </c>
      <c r="M63" s="17">
        <f>5181.3+1.9</f>
        <v>5183.2</v>
      </c>
      <c r="N63" s="17">
        <f>428600.9+564.5+74.3</f>
        <v>429239.7</v>
      </c>
      <c r="O63" s="19">
        <v>490103.5</v>
      </c>
      <c r="P63" s="20">
        <v>169591.2</v>
      </c>
      <c r="Q63" s="25">
        <f>2239.2+112349.7+95.6+593.1-113852.6-31.4-0</f>
        <v>1393.6</v>
      </c>
      <c r="R63" s="26">
        <f>111925.3+102326.1+6177.4-19990-25434.6</f>
        <v>175004.2</v>
      </c>
      <c r="S63" s="19">
        <f t="shared" ref="S63" si="12">SUM(B63:R63)</f>
        <v>4482152.9000000004</v>
      </c>
    </row>
    <row r="64" spans="1:19" s="16" customFormat="1" x14ac:dyDescent="0.25">
      <c r="A64" s="63">
        <v>44532</v>
      </c>
      <c r="B64" s="23">
        <f>1283924.8+27990.2</f>
        <v>1311915</v>
      </c>
      <c r="C64" s="23">
        <f>852330.5+28+1975.4+32377.6+102712.6</f>
        <v>989424.1</v>
      </c>
      <c r="D64" s="26">
        <f>202367.6+17096.3+30.1+4686+1677.4</f>
        <v>225857.4</v>
      </c>
      <c r="E64" s="26">
        <f>62711.8+56.2</f>
        <v>62768</v>
      </c>
      <c r="F64" s="26">
        <v>88575.900000000009</v>
      </c>
      <c r="G64" s="26">
        <v>1237.9999999999998</v>
      </c>
      <c r="H64" s="17">
        <v>2437.7999999999997</v>
      </c>
      <c r="I64" s="17">
        <f>0+3014.6</f>
        <v>3014.6</v>
      </c>
      <c r="J64" s="17">
        <v>512988.39999999997</v>
      </c>
      <c r="K64" s="23">
        <f>66325.8+19507+24965.3+33.5</f>
        <v>110831.6</v>
      </c>
      <c r="L64" s="17">
        <v>33877.5</v>
      </c>
      <c r="M64" s="17">
        <f>4748.4+1.9</f>
        <v>4750.2999999999993</v>
      </c>
      <c r="N64" s="17">
        <f>365723.1+530+73.1</f>
        <v>366326.19999999995</v>
      </c>
      <c r="O64" s="19">
        <v>488669.49999999994</v>
      </c>
      <c r="P64" s="20">
        <v>205894.19999999998</v>
      </c>
      <c r="Q64" s="25">
        <f>1371.7+103004.7+0+3804.3-99945.6-31.4-59-1.4</f>
        <v>8143.299999999992</v>
      </c>
      <c r="R64" s="26">
        <f>123164.8+103326.9+7801.6-24965.3-27990.2</f>
        <v>181337.80000000002</v>
      </c>
      <c r="S64" s="19">
        <f t="shared" ref="S64" si="13">SUM(B64:R64)</f>
        <v>4598049.5999999996</v>
      </c>
    </row>
    <row r="65" spans="1:19" s="43" customFormat="1" ht="18.75" x14ac:dyDescent="0.3">
      <c r="A65" s="40" t="s">
        <v>42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</row>
    <row r="66" spans="1:19" s="16" customFormat="1" x14ac:dyDescent="0.25">
      <c r="O66" s="27"/>
      <c r="P66" s="27"/>
      <c r="Q66" s="28"/>
      <c r="R66" s="27"/>
      <c r="S66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tabSelected="1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48" customFormat="1" ht="15" x14ac:dyDescent="0.25">
      <c r="A1" s="53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55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54"/>
      <c r="Q3" s="55"/>
      <c r="S3" s="61" t="s">
        <v>1</v>
      </c>
    </row>
    <row r="4" spans="1:19" s="29" customFormat="1" ht="18.75" x14ac:dyDescent="0.3">
      <c r="A4" s="70" t="s">
        <v>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3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3"/>
    </row>
    <row r="6" spans="1:19" s="29" customFormat="1" ht="18.75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s="29" customFormat="1" ht="18.75" customHeight="1" x14ac:dyDescent="0.3">
      <c r="A7" s="72" t="s">
        <v>46</v>
      </c>
      <c r="B7" s="68" t="s">
        <v>25</v>
      </c>
      <c r="C7" s="66" t="s">
        <v>43</v>
      </c>
      <c r="D7" s="74" t="s">
        <v>47</v>
      </c>
      <c r="E7" s="75" t="s">
        <v>48</v>
      </c>
      <c r="F7" s="75"/>
      <c r="G7" s="75"/>
      <c r="H7" s="74" t="s">
        <v>27</v>
      </c>
      <c r="I7" s="66" t="s">
        <v>28</v>
      </c>
      <c r="J7" s="66" t="s">
        <v>29</v>
      </c>
      <c r="K7" s="66" t="s">
        <v>41</v>
      </c>
      <c r="L7" s="66" t="s">
        <v>31</v>
      </c>
      <c r="M7" s="66" t="s">
        <v>32</v>
      </c>
      <c r="N7" s="66" t="s">
        <v>33</v>
      </c>
      <c r="O7" s="66" t="s">
        <v>34</v>
      </c>
      <c r="P7" s="68" t="s">
        <v>35</v>
      </c>
      <c r="Q7" s="64" t="s">
        <v>36</v>
      </c>
      <c r="R7" s="66" t="s">
        <v>37</v>
      </c>
      <c r="S7" s="68" t="s">
        <v>38</v>
      </c>
    </row>
    <row r="8" spans="1:19" s="29" customFormat="1" ht="90" customHeight="1" x14ac:dyDescent="0.3">
      <c r="A8" s="73"/>
      <c r="B8" s="69"/>
      <c r="C8" s="67"/>
      <c r="D8" s="74"/>
      <c r="E8" s="56" t="s">
        <v>25</v>
      </c>
      <c r="F8" s="56" t="s">
        <v>43</v>
      </c>
      <c r="G8" s="56" t="s">
        <v>49</v>
      </c>
      <c r="H8" s="74"/>
      <c r="I8" s="67"/>
      <c r="J8" s="67"/>
      <c r="K8" s="67"/>
      <c r="L8" s="67"/>
      <c r="M8" s="67"/>
      <c r="N8" s="67"/>
      <c r="O8" s="67"/>
      <c r="P8" s="69"/>
      <c r="Q8" s="65"/>
      <c r="R8" s="67"/>
      <c r="S8" s="69"/>
    </row>
    <row r="9" spans="1:19" s="16" customFormat="1" x14ac:dyDescent="0.25">
      <c r="A9" s="62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2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2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2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2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2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2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2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2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2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2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2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:S21" si="2">SUM(B20:R20)</f>
        <v>2932774.8999999994</v>
      </c>
    </row>
    <row r="21" spans="1:19" s="16" customFormat="1" ht="15" customHeight="1" x14ac:dyDescent="0.25">
      <c r="A21" s="62">
        <v>2020</v>
      </c>
      <c r="B21" s="23">
        <f>1127406.1+14327.1</f>
        <v>1141733.2000000002</v>
      </c>
      <c r="C21" s="23">
        <f>612431.2+3166.9+2942.3+21501.2+5260.4</f>
        <v>645302</v>
      </c>
      <c r="D21" s="26">
        <f>158492+13303+71.2+7277+232.4</f>
        <v>179375.6</v>
      </c>
      <c r="E21" s="26">
        <f>87099.3+58.4</f>
        <v>87157.7</v>
      </c>
      <c r="F21" s="26">
        <v>44679.6</v>
      </c>
      <c r="G21" s="26">
        <v>899.49999999999989</v>
      </c>
      <c r="H21" s="17">
        <v>3485.6</v>
      </c>
      <c r="I21" s="17">
        <f>0+3667.1</f>
        <v>3667.1</v>
      </c>
      <c r="J21" s="17">
        <v>296859.40000000008</v>
      </c>
      <c r="K21" s="23">
        <f>53343.2+20079.5+26571.3+66</f>
        <v>100060</v>
      </c>
      <c r="L21" s="17">
        <v>22821.599999999999</v>
      </c>
      <c r="M21" s="17">
        <f>13386.5+0</f>
        <v>13386.5</v>
      </c>
      <c r="N21" s="17">
        <f>307050.9+560.2+76.7</f>
        <v>307687.80000000005</v>
      </c>
      <c r="O21" s="19">
        <v>375585</v>
      </c>
      <c r="P21" s="20">
        <v>158256</v>
      </c>
      <c r="Q21" s="25">
        <f>84.4+2023.3+600.1+0-2083.8-31.4-0</f>
        <v>592.59999999999957</v>
      </c>
      <c r="R21" s="26">
        <f>85368.1+75821.6+2271.8-20079.5-14327.1</f>
        <v>129054.9</v>
      </c>
      <c r="S21" s="19">
        <f t="shared" si="2"/>
        <v>3510604.1000000006</v>
      </c>
    </row>
    <row r="22" spans="1:19" s="16" customFormat="1" x14ac:dyDescent="0.25">
      <c r="A22" s="62">
        <v>2021</v>
      </c>
      <c r="B22" s="23">
        <f>1283924.8+27990.2</f>
        <v>1311915</v>
      </c>
      <c r="C22" s="23">
        <f>852330.5+28+1975.4+32377.6+102712.6</f>
        <v>989424.1</v>
      </c>
      <c r="D22" s="26">
        <f>202367.6+17096.3+30.1+4686+1677.4</f>
        <v>225857.4</v>
      </c>
      <c r="E22" s="26">
        <f>62711.8+56.2</f>
        <v>62768</v>
      </c>
      <c r="F22" s="26">
        <v>88575.900000000009</v>
      </c>
      <c r="G22" s="26">
        <v>1237.9999999999998</v>
      </c>
      <c r="H22" s="17">
        <v>2437.7999999999997</v>
      </c>
      <c r="I22" s="17">
        <f>0+3014.6</f>
        <v>3014.6</v>
      </c>
      <c r="J22" s="17">
        <v>512988.39999999997</v>
      </c>
      <c r="K22" s="23">
        <f>66325.8+19507+24965.3+33.5</f>
        <v>110831.6</v>
      </c>
      <c r="L22" s="17">
        <v>33877.5</v>
      </c>
      <c r="M22" s="17">
        <f>4748.4+1.9</f>
        <v>4750.2999999999993</v>
      </c>
      <c r="N22" s="17">
        <f>365723.1+530+73.1</f>
        <v>366326.19999999995</v>
      </c>
      <c r="O22" s="19">
        <v>488669.49999999994</v>
      </c>
      <c r="P22" s="20">
        <v>205894.19999999998</v>
      </c>
      <c r="Q22" s="25">
        <f>1371.7+103004.7+0+3804.3-99945.6-31.4-59-1.4</f>
        <v>8143.299999999992</v>
      </c>
      <c r="R22" s="26">
        <f>123164.8+103326.9+7801.6-24965.3-27990.2</f>
        <v>181337.80000000002</v>
      </c>
      <c r="S22" s="19">
        <f t="shared" ref="S22" si="3">SUM(B22:R22)</f>
        <v>4598049.5999999996</v>
      </c>
    </row>
    <row r="23" spans="1:19" s="43" customFormat="1" ht="18.75" x14ac:dyDescent="0.3">
      <c r="A23" s="40" t="s">
        <v>42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19" s="16" customFormat="1" x14ac:dyDescent="0.25">
      <c r="O24" s="27"/>
      <c r="P24" s="27"/>
      <c r="Q24" s="28"/>
      <c r="R24" s="27"/>
      <c r="S24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2010-03-04T18:44:39Z</cp:lastPrinted>
  <dcterms:created xsi:type="dcterms:W3CDTF">2000-09-13T05:55:37Z</dcterms:created>
  <dcterms:modified xsi:type="dcterms:W3CDTF">2022-03-28T08:10:18Z</dcterms:modified>
</cp:coreProperties>
</file>