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135" firstSheet="1" activeTab="1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67" i="4" l="1"/>
  <c r="Q167" i="4"/>
  <c r="N167" i="4"/>
  <c r="M167" i="4"/>
  <c r="K167" i="4"/>
  <c r="E167" i="4"/>
  <c r="D167" i="4"/>
  <c r="C167" i="4"/>
  <c r="B167" i="4"/>
  <c r="S167" i="4" s="1"/>
  <c r="S56" i="5"/>
  <c r="R56" i="5"/>
  <c r="Q56" i="5"/>
  <c r="K56" i="5"/>
  <c r="E56" i="5"/>
  <c r="D56" i="5"/>
  <c r="B56" i="5"/>
  <c r="R154" i="4"/>
  <c r="Q154" i="4"/>
  <c r="K154" i="4"/>
  <c r="E154" i="4"/>
  <c r="D154" i="4"/>
  <c r="B154" i="4"/>
  <c r="S154" i="4" l="1"/>
  <c r="R61" i="5" l="1"/>
  <c r="Q61" i="5"/>
  <c r="N61" i="5"/>
  <c r="M61" i="5"/>
  <c r="K61" i="5"/>
  <c r="E61" i="5"/>
  <c r="D61" i="5"/>
  <c r="C61" i="5"/>
  <c r="B61" i="5"/>
  <c r="R169" i="4"/>
  <c r="Q169" i="4"/>
  <c r="N169" i="4"/>
  <c r="M169" i="4"/>
  <c r="K169" i="4"/>
  <c r="E169" i="4"/>
  <c r="D169" i="4"/>
  <c r="C169" i="4"/>
  <c r="B169" i="4"/>
  <c r="S169" i="4" s="1"/>
  <c r="R168" i="4"/>
  <c r="Q168" i="4"/>
  <c r="N168" i="4"/>
  <c r="M168" i="4"/>
  <c r="K168" i="4"/>
  <c r="E168" i="4"/>
  <c r="D168" i="4"/>
  <c r="C168" i="4"/>
  <c r="B168" i="4"/>
  <c r="S61" i="5" l="1"/>
  <c r="S168" i="4"/>
  <c r="R20" i="3"/>
  <c r="Q20" i="3"/>
  <c r="N20" i="3"/>
  <c r="M20" i="3"/>
  <c r="K20" i="3"/>
  <c r="I20" i="3"/>
  <c r="E20" i="3"/>
  <c r="D20" i="3"/>
  <c r="C20" i="3"/>
  <c r="B20" i="3"/>
  <c r="R60" i="5"/>
  <c r="Q60" i="5"/>
  <c r="N60" i="5"/>
  <c r="M60" i="5"/>
  <c r="K60" i="5"/>
  <c r="E60" i="5"/>
  <c r="D60" i="5"/>
  <c r="C60" i="5"/>
  <c r="B60" i="5"/>
  <c r="R59" i="5"/>
  <c r="Q59" i="5"/>
  <c r="N59" i="5"/>
  <c r="M59" i="5"/>
  <c r="K59" i="5"/>
  <c r="I59" i="5"/>
  <c r="E59" i="5"/>
  <c r="D59" i="5"/>
  <c r="C59" i="5"/>
  <c r="B59" i="5"/>
  <c r="R166" i="4"/>
  <c r="Q166" i="4"/>
  <c r="N166" i="4"/>
  <c r="M166" i="4"/>
  <c r="K166" i="4"/>
  <c r="E166" i="4"/>
  <c r="D166" i="4"/>
  <c r="C166" i="4"/>
  <c r="B166" i="4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60" i="5"/>
  <c r="S163" i="4"/>
  <c r="S165" i="4"/>
  <c r="S164" i="4"/>
  <c r="S166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s="1"/>
  <c r="S58" i="5" l="1"/>
  <c r="R159" i="4"/>
  <c r="Q159" i="4"/>
  <c r="K159" i="4"/>
  <c r="E159" i="4"/>
  <c r="D159" i="4"/>
  <c r="B159" i="4"/>
  <c r="S159" i="4" s="1"/>
  <c r="S158" i="4"/>
  <c r="R158" i="4"/>
  <c r="Q158" i="4"/>
  <c r="K158" i="4"/>
  <c r="E158" i="4"/>
  <c r="D158" i="4"/>
  <c r="B158" i="4"/>
  <c r="R57" i="5" l="1"/>
  <c r="Q57" i="5"/>
  <c r="K57" i="5"/>
  <c r="E57" i="5"/>
  <c r="D57" i="5"/>
  <c r="B57" i="5"/>
  <c r="S57" i="5" s="1"/>
  <c r="R157" i="4"/>
  <c r="S157" i="4" s="1"/>
  <c r="Q157" i="4"/>
  <c r="K157" i="4"/>
  <c r="E157" i="4"/>
  <c r="D157" i="4"/>
  <c r="B157" i="4"/>
  <c r="R156" i="4" l="1"/>
  <c r="Q156" i="4"/>
  <c r="K156" i="4"/>
  <c r="E156" i="4"/>
  <c r="D156" i="4"/>
  <c r="B156" i="4"/>
  <c r="S156" i="4" s="1"/>
  <c r="R155" i="4" l="1"/>
  <c r="Q155" i="4"/>
  <c r="K155" i="4"/>
  <c r="E155" i="4"/>
  <c r="D155" i="4"/>
  <c r="B155" i="4"/>
  <c r="S155" i="4" s="1"/>
  <c r="R19" i="3" l="1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s="1"/>
  <c r="R53" i="5" l="1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<sst xmlns="http://schemas.openxmlformats.org/spreadsheetml/2006/main" count="199" uniqueCount="52">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</sst>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F8" sqref="F8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44377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86"/>
  <sheetViews>
    <sheetView tabSelected="1" workbookViewId="0">
      <pane xSplit="1" ySplit="7" topLeftCell="S167" activePane="bottomRight" state="frozen"/>
      <selection pane="topRight" activeCell="B1" sqref="B1"/>
      <selection pane="bottomLeft" activeCell="A7" sqref="A7"/>
      <selection pane="bottomRight" activeCell="U142" sqref="U142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2" t="s">
        <v>4</v>
      </c>
      <c r="C6" s="71" t="s">
        <v>5</v>
      </c>
      <c r="D6" s="71" t="s">
        <v>41</v>
      </c>
      <c r="E6" s="78" t="s">
        <v>47</v>
      </c>
      <c r="F6" s="78"/>
      <c r="G6" s="78"/>
      <c r="H6" s="71" t="s">
        <v>7</v>
      </c>
      <c r="I6" s="71" t="s">
        <v>8</v>
      </c>
      <c r="J6" s="71" t="s">
        <v>9</v>
      </c>
      <c r="K6" s="71" t="s">
        <v>10</v>
      </c>
      <c r="L6" s="71" t="s">
        <v>45</v>
      </c>
      <c r="M6" s="71" t="s">
        <v>11</v>
      </c>
      <c r="N6" s="71" t="s">
        <v>42</v>
      </c>
      <c r="O6" s="71" t="s">
        <v>43</v>
      </c>
      <c r="P6" s="72" t="s">
        <v>12</v>
      </c>
      <c r="Q6" s="70" t="s">
        <v>13</v>
      </c>
      <c r="R6" s="71" t="s">
        <v>14</v>
      </c>
      <c r="S6" s="72" t="s">
        <v>15</v>
      </c>
    </row>
    <row r="7" spans="1:19" s="37" customFormat="1" ht="90" customHeight="1" x14ac:dyDescent="0.3">
      <c r="A7" s="77"/>
      <c r="B7" s="72"/>
      <c r="C7" s="71"/>
      <c r="D7" s="71"/>
      <c r="E7" s="54" t="s">
        <v>4</v>
      </c>
      <c r="F7" s="54" t="s">
        <v>5</v>
      </c>
      <c r="G7" s="54" t="s">
        <v>48</v>
      </c>
      <c r="H7" s="71"/>
      <c r="I7" s="71"/>
      <c r="J7" s="71"/>
      <c r="K7" s="71"/>
      <c r="L7" s="71"/>
      <c r="M7" s="71"/>
      <c r="N7" s="71"/>
      <c r="O7" s="71"/>
      <c r="P7" s="72"/>
      <c r="Q7" s="70"/>
      <c r="R7" s="71"/>
      <c r="S7" s="72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69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64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64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64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64">
        <v>44227</v>
      </c>
      <c r="B164" s="31">
        <f>1156864.7+22078.1</f>
        <v>1178942.8</v>
      </c>
      <c r="C164" s="31">
        <f>611565.3+3166.9+3279.2+21221.8+5393.1</f>
        <v>644626.30000000005</v>
      </c>
      <c r="D164" s="34">
        <f>163496.6+14284.4+70.7+2631.5+232.8</f>
        <v>180716</v>
      </c>
      <c r="E164" s="34">
        <f>62265.2+58.4</f>
        <v>62323.6</v>
      </c>
      <c r="F164" s="34">
        <v>48993.5</v>
      </c>
      <c r="G164" s="34">
        <v>836.00000000000011</v>
      </c>
      <c r="H164" s="25">
        <v>3073.7</v>
      </c>
      <c r="I164" s="25">
        <f>0+3458.8</f>
        <v>3458.8</v>
      </c>
      <c r="J164" s="25">
        <v>299135.7</v>
      </c>
      <c r="K164" s="31">
        <f>52942.4+17532.6+10064.4+66</f>
        <v>80605.399999999994</v>
      </c>
      <c r="L164" s="25">
        <v>29471.5</v>
      </c>
      <c r="M164" s="25">
        <f>12980.9+3483.9</f>
        <v>16464.8</v>
      </c>
      <c r="N164" s="25">
        <f>338899.1+561.3+75.7</f>
        <v>339536.1</v>
      </c>
      <c r="O164" s="27">
        <v>381978.39999999997</v>
      </c>
      <c r="P164" s="28">
        <v>167858.40000000002</v>
      </c>
      <c r="Q164" s="33">
        <f>260.8+13036.1+666.2+0-7257.9-31.4-8000</f>
        <v>-1326.1999999999989</v>
      </c>
      <c r="R164" s="34">
        <f>92750+76211.7+2857-17532.6-22078.1</f>
        <v>132208</v>
      </c>
      <c r="S164" s="27">
        <f t="shared" si="3"/>
        <v>3568902.8</v>
      </c>
    </row>
    <row r="165" spans="1:19" s="23" customFormat="1" x14ac:dyDescent="0.25">
      <c r="A165" s="64">
        <v>44255</v>
      </c>
      <c r="B165" s="31">
        <f>1186153.3+20096.1</f>
        <v>1206249.4000000001</v>
      </c>
      <c r="C165" s="31">
        <f>630989.3+3166.9+3382.7+23513.2+5439.7</f>
        <v>666491.79999999993</v>
      </c>
      <c r="D165" s="34">
        <f>163269.2+15782.8+71+4599.2+233</f>
        <v>183955.20000000001</v>
      </c>
      <c r="E165" s="34">
        <f>58382.2+58.4</f>
        <v>58440.6</v>
      </c>
      <c r="F165" s="34">
        <v>49556.6</v>
      </c>
      <c r="G165" s="34">
        <v>1021.4</v>
      </c>
      <c r="H165" s="25">
        <v>3603.9</v>
      </c>
      <c r="I165" s="25">
        <f>0+3460.1</f>
        <v>3460.1</v>
      </c>
      <c r="J165" s="25">
        <v>293901.2</v>
      </c>
      <c r="K165" s="31">
        <f>49096.2+15275.7+8633.5+33.5</f>
        <v>73038.899999999994</v>
      </c>
      <c r="L165" s="25">
        <v>29101.7</v>
      </c>
      <c r="M165" s="25">
        <f>25902+19081.4</f>
        <v>44983.4</v>
      </c>
      <c r="N165" s="25">
        <f>328359.3+559+75.7</f>
        <v>328994</v>
      </c>
      <c r="O165" s="27">
        <v>382766.29999999993</v>
      </c>
      <c r="P165" s="28">
        <v>177366.7</v>
      </c>
      <c r="Q165" s="33">
        <f>83.8+8088.2+1133.8+0-8083.7-31.4-0</f>
        <v>1190.6999999999994</v>
      </c>
      <c r="R165" s="34">
        <f>89761.7+76663.7+4368.6-15275.7-20096.1</f>
        <v>135422.19999999998</v>
      </c>
      <c r="S165" s="27">
        <f t="shared" si="3"/>
        <v>3639544.1000000006</v>
      </c>
    </row>
    <row r="166" spans="1:19" s="23" customFormat="1" x14ac:dyDescent="0.25">
      <c r="A166" s="64">
        <v>44286</v>
      </c>
      <c r="B166" s="31">
        <f>1179405.1+22815.2</f>
        <v>1202220.3</v>
      </c>
      <c r="C166" s="31">
        <f>649243.4+3077.3+2269.7+24359.6+5525.5</f>
        <v>684475.5</v>
      </c>
      <c r="D166" s="34">
        <f>169012.1+16489.4+29.4+2310.8+367.2</f>
        <v>188208.9</v>
      </c>
      <c r="E166" s="34">
        <f>72990.8+58.4</f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f>61106.5+15244.8+22791.8+34</f>
        <v>99177.1</v>
      </c>
      <c r="L166" s="25">
        <v>28206.799999999996</v>
      </c>
      <c r="M166" s="25">
        <f>1065.5+21080.2</f>
        <v>22145.7</v>
      </c>
      <c r="N166" s="25">
        <f>318141.6+563.7+73.8</f>
        <v>318779.09999999998</v>
      </c>
      <c r="O166" s="27">
        <v>450473</v>
      </c>
      <c r="P166" s="28">
        <v>90171.300000000017</v>
      </c>
      <c r="Q166" s="33">
        <f>19.3+18932.8+1378.7+0+96.3-16822.7-31.4-0</f>
        <v>3572.9999999999977</v>
      </c>
      <c r="R166" s="34">
        <f>93769.6+77293.7+3533.4-15244.8-22815.2</f>
        <v>136536.69999999998</v>
      </c>
      <c r="S166" s="27">
        <f t="shared" si="3"/>
        <v>3643654.7</v>
      </c>
    </row>
    <row r="167" spans="1:19" s="23" customFormat="1" x14ac:dyDescent="0.25">
      <c r="A167" s="64">
        <v>44316</v>
      </c>
      <c r="B167" s="31">
        <f>1165726.1+19303.2</f>
        <v>1185029.3</v>
      </c>
      <c r="C167" s="31">
        <f>654628.5+118.2+2446+27550.3+5750.2</f>
        <v>690493.2</v>
      </c>
      <c r="D167" s="34">
        <f>160186.1+17278.4+29.4+2546.1+221.9</f>
        <v>180261.9</v>
      </c>
      <c r="E167" s="34">
        <f>69984.7+58.4</f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f>80875.2+12787.5+6824.5+34</f>
        <v>100521.2</v>
      </c>
      <c r="L167" s="25">
        <v>43346.8</v>
      </c>
      <c r="M167" s="25">
        <f>9208.9+6539.5</f>
        <v>15748.4</v>
      </c>
      <c r="N167" s="25">
        <f>324089+567.8+76.4</f>
        <v>324733.2</v>
      </c>
      <c r="O167" s="27">
        <v>452035</v>
      </c>
      <c r="P167" s="28">
        <v>99618.6</v>
      </c>
      <c r="Q167" s="33">
        <f>627.5+32146.2+1049.9+0+95.6-32088.7-31.4-0</f>
        <v>1799.0999999999963</v>
      </c>
      <c r="R167" s="34">
        <f>83782.4+77247.7+3262.1-12787.5-19303.2</f>
        <v>132201.49999999997</v>
      </c>
      <c r="S167" s="27">
        <f t="shared" si="3"/>
        <v>3685732.2000000007</v>
      </c>
    </row>
    <row r="168" spans="1:19" s="23" customFormat="1" x14ac:dyDescent="0.25">
      <c r="A168" s="64">
        <v>44347</v>
      </c>
      <c r="B168" s="31">
        <f>1217732.2+22538</f>
        <v>1240270.2</v>
      </c>
      <c r="C168" s="31">
        <f>644248.8+118.2+2178+24970.6+5579.1</f>
        <v>677094.7</v>
      </c>
      <c r="D168" s="34">
        <f>164101.5+17547.3+29.6+2653.9+204.6</f>
        <v>184536.9</v>
      </c>
      <c r="E168" s="34">
        <f>69399.1+58.4</f>
        <v>69457.5</v>
      </c>
      <c r="F168" s="34">
        <v>59127.6</v>
      </c>
      <c r="G168" s="34">
        <v>941.69999999999993</v>
      </c>
      <c r="H168" s="25">
        <v>3547.2000000000003</v>
      </c>
      <c r="I168" s="25">
        <v>3165.5</v>
      </c>
      <c r="J168" s="25">
        <v>337369.5</v>
      </c>
      <c r="K168" s="31">
        <f>79799.7+14037.5+6418.3+34</f>
        <v>100289.5</v>
      </c>
      <c r="L168" s="25">
        <v>37618.800000000003</v>
      </c>
      <c r="M168" s="25">
        <f>7287.9+6568</f>
        <v>13855.9</v>
      </c>
      <c r="N168" s="25">
        <f>320733.5+560.3+77</f>
        <v>321370.8</v>
      </c>
      <c r="O168" s="27">
        <v>458492.9</v>
      </c>
      <c r="P168" s="28">
        <v>104224.1</v>
      </c>
      <c r="Q168" s="33">
        <f>1438+42653.8+1463.3+0+95.6-31710.2-31.4-10922.2</f>
        <v>2986.9000000000033</v>
      </c>
      <c r="R168" s="34">
        <f>93336.4+78107.8+7087.4-14037.5-22538</f>
        <v>141956.1</v>
      </c>
      <c r="S168" s="27">
        <f t="shared" si="3"/>
        <v>3756305.8</v>
      </c>
    </row>
    <row r="169" spans="1:19" s="23" customFormat="1" x14ac:dyDescent="0.25">
      <c r="A169" s="64">
        <v>44377</v>
      </c>
      <c r="B169" s="31">
        <f>1258468.3+28354.5</f>
        <v>1286822.8</v>
      </c>
      <c r="C169" s="31">
        <f>687257.1+28+2086.8+25075.7+7166.6</f>
        <v>721614.2</v>
      </c>
      <c r="D169" s="34">
        <f>169065.8+17375.6+29.6+2822.7+205.1</f>
        <v>189498.80000000002</v>
      </c>
      <c r="E169" s="34">
        <f>83237.9+58.4</f>
        <v>83296.299999999988</v>
      </c>
      <c r="F169" s="34">
        <v>68262</v>
      </c>
      <c r="G169" s="34">
        <v>928.99999999999989</v>
      </c>
      <c r="H169" s="25">
        <v>4514.8000000000011</v>
      </c>
      <c r="I169" s="25">
        <v>3152.2999999999997</v>
      </c>
      <c r="J169" s="25">
        <v>326958.8</v>
      </c>
      <c r="K169" s="31">
        <f>66687.1+14707.3+25634.2+34</f>
        <v>107062.6</v>
      </c>
      <c r="L169" s="25">
        <v>43190.3</v>
      </c>
      <c r="M169" s="25">
        <f>3703.1+112.2</f>
        <v>3815.2999999999997</v>
      </c>
      <c r="N169" s="25">
        <f>364992.7+571.2+75.6</f>
        <v>365639.5</v>
      </c>
      <c r="O169" s="27">
        <v>458930.5</v>
      </c>
      <c r="P169" s="28">
        <v>119122.70000000001</v>
      </c>
      <c r="Q169" s="33">
        <f>1771.8+64838.6+1311.3+0+95.6-61653.4-31.4-0</f>
        <v>6332.5000000000018</v>
      </c>
      <c r="R169" s="34">
        <f>102078.3+77680.4+8612.7-14707.3-28354.5</f>
        <v>145309.60000000003</v>
      </c>
      <c r="S169" s="27">
        <f t="shared" si="3"/>
        <v>3934451.9999999991</v>
      </c>
    </row>
    <row r="170" spans="1:19" s="23" customFormat="1" x14ac:dyDescent="0.25">
      <c r="A170" s="64" t="s">
        <v>3</v>
      </c>
      <c r="B170" s="31"/>
      <c r="C170" s="31"/>
      <c r="D170" s="34"/>
      <c r="E170" s="34"/>
      <c r="F170" s="34"/>
      <c r="G170" s="34"/>
      <c r="H170" s="25"/>
      <c r="I170" s="25"/>
      <c r="J170" s="25"/>
      <c r="K170" s="31"/>
      <c r="L170" s="25"/>
      <c r="M170" s="25"/>
      <c r="N170" s="25"/>
      <c r="O170" s="27"/>
      <c r="P170" s="28"/>
      <c r="Q170" s="33"/>
      <c r="R170" s="34"/>
      <c r="S170" s="27"/>
    </row>
    <row r="171" spans="1:19" s="23" customFormat="1" x14ac:dyDescent="0.25">
      <c r="O171" s="35"/>
      <c r="P171" s="35"/>
      <c r="Q171" s="36"/>
      <c r="R171" s="35"/>
      <c r="S171" s="35"/>
    </row>
    <row r="173" spans="1:19" x14ac:dyDescent="0.25">
      <c r="B173" s="10"/>
      <c r="C173" s="10"/>
      <c r="D173" s="10"/>
    </row>
    <row r="174" spans="1:19" x14ac:dyDescent="0.25">
      <c r="B174" s="10"/>
      <c r="C174" s="10"/>
      <c r="D174" s="10"/>
    </row>
    <row r="175" spans="1:19" x14ac:dyDescent="0.25">
      <c r="B175" s="10"/>
      <c r="C175" s="10"/>
      <c r="D175" s="10"/>
    </row>
    <row r="176" spans="1:19" x14ac:dyDescent="0.25">
      <c r="B176" s="10"/>
      <c r="C176" s="10"/>
      <c r="D176" s="10"/>
    </row>
    <row r="177" spans="2:4" x14ac:dyDescent="0.25">
      <c r="B177" s="10"/>
      <c r="C177" s="10"/>
      <c r="D177" s="10"/>
    </row>
    <row r="178" spans="2:4" x14ac:dyDescent="0.25">
      <c r="B178" s="10"/>
      <c r="C178" s="10"/>
      <c r="D178" s="10"/>
    </row>
    <row r="179" spans="2:4" x14ac:dyDescent="0.25">
      <c r="B179" s="10"/>
      <c r="C179" s="10"/>
      <c r="D179" s="10"/>
    </row>
    <row r="180" spans="2:4" x14ac:dyDescent="0.25">
      <c r="B180" s="10"/>
      <c r="C180" s="10"/>
      <c r="D180" s="10"/>
    </row>
    <row r="181" spans="2:4" x14ac:dyDescent="0.25">
      <c r="B181" s="10"/>
      <c r="C181" s="10"/>
      <c r="D181" s="10"/>
    </row>
    <row r="182" spans="2:4" x14ac:dyDescent="0.25">
      <c r="B182" s="10"/>
      <c r="C182" s="10"/>
      <c r="D182" s="10"/>
    </row>
    <row r="183" spans="2:4" x14ac:dyDescent="0.25">
      <c r="B183" s="10"/>
      <c r="C183" s="10"/>
      <c r="D183" s="10"/>
    </row>
    <row r="184" spans="2:4" x14ac:dyDescent="0.25">
      <c r="B184" s="10"/>
      <c r="C184" s="10"/>
      <c r="D184" s="10"/>
    </row>
    <row r="185" spans="2:4" x14ac:dyDescent="0.25">
      <c r="B185" s="10"/>
      <c r="C185" s="10"/>
      <c r="D185" s="10"/>
    </row>
    <row r="186" spans="2:4" x14ac:dyDescent="0.25">
      <c r="B186" s="10"/>
      <c r="C186" s="10"/>
      <c r="D186" s="10"/>
    </row>
  </sheetData>
  <mergeCells count="18"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4"/>
  <sheetViews>
    <sheetView workbookViewId="0">
      <pane xSplit="1" ySplit="7" topLeftCell="R53" activePane="bottomRight" state="frozen"/>
      <selection pane="topRight" activeCell="B1" sqref="B1"/>
      <selection pane="bottomLeft" activeCell="A8" sqref="A8"/>
      <selection pane="bottomRight" activeCell="T61" sqref="T61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2" t="s">
        <v>4</v>
      </c>
      <c r="C6" s="71" t="s">
        <v>5</v>
      </c>
      <c r="D6" s="71" t="s">
        <v>41</v>
      </c>
      <c r="E6" s="78" t="s">
        <v>47</v>
      </c>
      <c r="F6" s="78"/>
      <c r="G6" s="78"/>
      <c r="H6" s="71" t="s">
        <v>7</v>
      </c>
      <c r="I6" s="71" t="s">
        <v>8</v>
      </c>
      <c r="J6" s="71" t="s">
        <v>9</v>
      </c>
      <c r="K6" s="71" t="s">
        <v>10</v>
      </c>
      <c r="L6" s="71" t="s">
        <v>45</v>
      </c>
      <c r="M6" s="71" t="s">
        <v>11</v>
      </c>
      <c r="N6" s="71" t="s">
        <v>42</v>
      </c>
      <c r="O6" s="71" t="s">
        <v>43</v>
      </c>
      <c r="P6" s="72" t="s">
        <v>12</v>
      </c>
      <c r="Q6" s="70" t="s">
        <v>13</v>
      </c>
      <c r="R6" s="71" t="s">
        <v>14</v>
      </c>
      <c r="S6" s="72" t="s">
        <v>15</v>
      </c>
    </row>
    <row r="7" spans="1:19" s="37" customFormat="1" ht="90" customHeight="1" x14ac:dyDescent="0.3">
      <c r="A7" s="77"/>
      <c r="B7" s="72"/>
      <c r="C7" s="71"/>
      <c r="D7" s="71"/>
      <c r="E7" s="54" t="s">
        <v>4</v>
      </c>
      <c r="F7" s="54" t="s">
        <v>5</v>
      </c>
      <c r="G7" s="54" t="s">
        <v>48</v>
      </c>
      <c r="H7" s="71"/>
      <c r="I7" s="71"/>
      <c r="J7" s="71"/>
      <c r="K7" s="71"/>
      <c r="L7" s="71"/>
      <c r="M7" s="71"/>
      <c r="N7" s="71"/>
      <c r="O7" s="71"/>
      <c r="P7" s="72"/>
      <c r="Q7" s="70"/>
      <c r="R7" s="71"/>
      <c r="S7" s="72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64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:S60" si="10">SUM(B59:R59)</f>
        <v>3510604.1000000006</v>
      </c>
    </row>
    <row r="60" spans="1:19" s="23" customFormat="1" x14ac:dyDescent="0.25">
      <c r="A60" s="64">
        <v>44286</v>
      </c>
      <c r="B60" s="31">
        <f>1179405.1+22815.2</f>
        <v>1202220.3</v>
      </c>
      <c r="C60" s="31">
        <f>649243.4+3077.3+2269.7+24359.6+5525.5</f>
        <v>684475.5</v>
      </c>
      <c r="D60" s="34">
        <f>169012.1+16489.4+29.4+2310.8+367.2</f>
        <v>188208.9</v>
      </c>
      <c r="E60" s="34">
        <f>72990.8+58.4</f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f>61106.5+15244.8+22791.8+34</f>
        <v>99177.1</v>
      </c>
      <c r="L60" s="25">
        <v>28206.799999999996</v>
      </c>
      <c r="M60" s="25">
        <f>1065.5+21080.2</f>
        <v>22145.7</v>
      </c>
      <c r="N60" s="25">
        <f>318141.6+563.7+73.8</f>
        <v>318779.09999999998</v>
      </c>
      <c r="O60" s="27">
        <v>450473</v>
      </c>
      <c r="P60" s="28">
        <v>90171.300000000017</v>
      </c>
      <c r="Q60" s="33">
        <f>19.3+18932.8+1378.7+0+96.3-16822.7-31.4-0</f>
        <v>3572.9999999999977</v>
      </c>
      <c r="R60" s="34">
        <f>93769.6+77293.7+3533.4-15244.8-22815.2</f>
        <v>136536.69999999998</v>
      </c>
      <c r="S60" s="27">
        <f t="shared" si="10"/>
        <v>3643654.7</v>
      </c>
    </row>
    <row r="61" spans="1:19" s="23" customFormat="1" x14ac:dyDescent="0.25">
      <c r="A61" s="64">
        <v>44377</v>
      </c>
      <c r="B61" s="31">
        <f>1258468.3+28354.5</f>
        <v>1286822.8</v>
      </c>
      <c r="C61" s="31">
        <f>687257.1+28+2086.8+25075.7+7166.6</f>
        <v>721614.2</v>
      </c>
      <c r="D61" s="34">
        <f>169065.8+17375.6+29.6+2822.7+205.1</f>
        <v>189498.80000000002</v>
      </c>
      <c r="E61" s="34">
        <f>83237.9+58.4</f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f>66687.1+14707.3+25634.2+34</f>
        <v>107062.6</v>
      </c>
      <c r="L61" s="25">
        <v>43190.3</v>
      </c>
      <c r="M61" s="25">
        <f>3703.1+112.2</f>
        <v>3815.2999999999997</v>
      </c>
      <c r="N61" s="25">
        <f>364992.7+571.2+75.6</f>
        <v>365639.5</v>
      </c>
      <c r="O61" s="27">
        <v>458930.5</v>
      </c>
      <c r="P61" s="28">
        <v>119122.70000000001</v>
      </c>
      <c r="Q61" s="33">
        <f>1771.8+64838.6+1311.3+0+95.6-61653.4-31.4-0</f>
        <v>6332.5000000000018</v>
      </c>
      <c r="R61" s="34">
        <f>102078.3+77680.4+8612.7-14707.3-28354.5</f>
        <v>145309.60000000003</v>
      </c>
      <c r="S61" s="27">
        <f t="shared" ref="S61" si="11">SUM(B61:R61)</f>
        <v>3934451.9999999991</v>
      </c>
    </row>
    <row r="62" spans="1:19" s="45" customFormat="1" x14ac:dyDescent="0.25">
      <c r="A62" s="46"/>
      <c r="B62" s="47"/>
      <c r="C62" s="48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9"/>
      <c r="P62" s="49"/>
      <c r="Q62" s="50"/>
      <c r="R62" s="49"/>
      <c r="S62" s="56"/>
    </row>
    <row r="63" spans="1:19" s="55" customFormat="1" ht="18.75" x14ac:dyDescent="0.3">
      <c r="A63" s="51" t="s">
        <v>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</row>
    <row r="64" spans="1:19" s="23" customFormat="1" x14ac:dyDescent="0.25">
      <c r="O64" s="35"/>
      <c r="P64" s="35"/>
      <c r="Q64" s="36"/>
      <c r="R64" s="35"/>
      <c r="S64" s="35"/>
    </row>
  </sheetData>
  <mergeCells count="18"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workbookViewId="0">
      <pane xSplit="1" ySplit="7" topLeftCell="S8" activePane="bottomRight" state="frozen"/>
      <selection pane="topRight" activeCell="B1" sqref="B1"/>
      <selection pane="bottomLeft" activeCell="A8" sqref="A8"/>
      <selection pane="bottomRight" activeCell="S20" sqref="S2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2" t="s">
        <v>4</v>
      </c>
      <c r="C6" s="71" t="s">
        <v>5</v>
      </c>
      <c r="D6" s="71" t="s">
        <v>41</v>
      </c>
      <c r="E6" s="78" t="s">
        <v>47</v>
      </c>
      <c r="F6" s="78"/>
      <c r="G6" s="78"/>
      <c r="H6" s="71" t="s">
        <v>7</v>
      </c>
      <c r="I6" s="71" t="s">
        <v>8</v>
      </c>
      <c r="J6" s="71" t="s">
        <v>9</v>
      </c>
      <c r="K6" s="71" t="s">
        <v>10</v>
      </c>
      <c r="L6" s="71" t="s">
        <v>45</v>
      </c>
      <c r="M6" s="71" t="s">
        <v>11</v>
      </c>
      <c r="N6" s="71" t="s">
        <v>42</v>
      </c>
      <c r="O6" s="71" t="s">
        <v>43</v>
      </c>
      <c r="P6" s="72" t="s">
        <v>12</v>
      </c>
      <c r="Q6" s="70" t="s">
        <v>13</v>
      </c>
      <c r="R6" s="71" t="s">
        <v>14</v>
      </c>
      <c r="S6" s="72" t="s">
        <v>15</v>
      </c>
    </row>
    <row r="7" spans="1:19" s="37" customFormat="1" ht="90" customHeight="1" x14ac:dyDescent="0.3">
      <c r="A7" s="77"/>
      <c r="B7" s="72"/>
      <c r="C7" s="71"/>
      <c r="D7" s="71"/>
      <c r="E7" s="54" t="s">
        <v>4</v>
      </c>
      <c r="F7" s="54" t="s">
        <v>5</v>
      </c>
      <c r="G7" s="54" t="s">
        <v>48</v>
      </c>
      <c r="H7" s="71"/>
      <c r="I7" s="71"/>
      <c r="J7" s="71"/>
      <c r="K7" s="71"/>
      <c r="L7" s="71"/>
      <c r="M7" s="71"/>
      <c r="N7" s="71"/>
      <c r="O7" s="71"/>
      <c r="P7" s="72"/>
      <c r="Q7" s="70"/>
      <c r="R7" s="71"/>
      <c r="S7" s="72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9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45" customFormat="1" x14ac:dyDescent="0.25">
      <c r="A21" s="46"/>
      <c r="B21" s="47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50"/>
      <c r="R21" s="49"/>
      <c r="S21" s="56"/>
    </row>
    <row r="22" spans="1:19" s="55" customFormat="1" ht="18.75" x14ac:dyDescent="0.3">
      <c r="A22" s="51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</row>
    <row r="23" spans="1:19" s="23" customFormat="1" x14ac:dyDescent="0.25">
      <c r="O23" s="35"/>
      <c r="P23" s="35"/>
      <c r="Q23" s="36"/>
      <c r="R23" s="35"/>
      <c r="S23" s="35"/>
    </row>
  </sheetData>
  <mergeCells count="18"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2021-09-17T06:23:05Z</dcterms:modified>
</cp:coreProperties>
</file>