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24000" windowHeight="9135" activeTab="1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176" i="4" l="1"/>
  <c r="Q176" i="4"/>
  <c r="N176" i="4"/>
  <c r="M176" i="4"/>
  <c r="S176" i="4" s="1"/>
  <c r="K176" i="4"/>
  <c r="I176" i="4"/>
  <c r="E176" i="4"/>
  <c r="D176" i="4"/>
  <c r="C176" i="4"/>
  <c r="B176" i="4"/>
  <c r="R21" i="3" l="1"/>
  <c r="Q21" i="3"/>
  <c r="N21" i="3"/>
  <c r="M21" i="3"/>
  <c r="K21" i="3"/>
  <c r="I21" i="3"/>
  <c r="E21" i="3"/>
  <c r="D21" i="3"/>
  <c r="C21" i="3"/>
  <c r="B21" i="3"/>
  <c r="S21" i="3" s="1"/>
  <c r="S63" i="5"/>
  <c r="R63" i="5"/>
  <c r="Q63" i="5"/>
  <c r="N63" i="5"/>
  <c r="M63" i="5"/>
  <c r="K63" i="5"/>
  <c r="I63" i="5"/>
  <c r="E63" i="5"/>
  <c r="D63" i="5"/>
  <c r="C63" i="5"/>
  <c r="B63" i="5"/>
  <c r="R175" i="4"/>
  <c r="Q175" i="4"/>
  <c r="N175" i="4"/>
  <c r="M175" i="4"/>
  <c r="S175" i="4" s="1"/>
  <c r="K175" i="4"/>
  <c r="I175" i="4"/>
  <c r="E175" i="4"/>
  <c r="D175" i="4"/>
  <c r="C175" i="4"/>
  <c r="B175" i="4"/>
  <c r="R174" i="4"/>
  <c r="Q174" i="4"/>
  <c r="N174" i="4"/>
  <c r="M174" i="4"/>
  <c r="K174" i="4"/>
  <c r="S174" i="4" s="1"/>
  <c r="I174" i="4"/>
  <c r="E174" i="4"/>
  <c r="D174" i="4"/>
  <c r="C174" i="4"/>
  <c r="B174" i="4"/>
  <c r="R173" i="4" l="1"/>
  <c r="Q173" i="4"/>
  <c r="N173" i="4"/>
  <c r="M173" i="4"/>
  <c r="K173" i="4"/>
  <c r="I173" i="4"/>
  <c r="E173" i="4"/>
  <c r="D173" i="4"/>
  <c r="C173" i="4"/>
  <c r="B173" i="4"/>
  <c r="S173" i="4" s="1"/>
  <c r="R62" i="5" l="1"/>
  <c r="Q62" i="5"/>
  <c r="N62" i="5"/>
  <c r="M62" i="5"/>
  <c r="K62" i="5"/>
  <c r="E62" i="5"/>
  <c r="D62" i="5"/>
  <c r="C62" i="5"/>
  <c r="B62" i="5"/>
  <c r="R172" i="4"/>
  <c r="Q172" i="4"/>
  <c r="N172" i="4"/>
  <c r="M172" i="4"/>
  <c r="K172" i="4"/>
  <c r="E172" i="4"/>
  <c r="D172" i="4"/>
  <c r="C172" i="4"/>
  <c r="B172" i="4"/>
  <c r="R171" i="4"/>
  <c r="Q171" i="4"/>
  <c r="N171" i="4"/>
  <c r="M171" i="4"/>
  <c r="K171" i="4"/>
  <c r="E171" i="4"/>
  <c r="D171" i="4"/>
  <c r="C171" i="4"/>
  <c r="B171" i="4"/>
  <c r="S171" i="4" s="1"/>
  <c r="S172" i="4" l="1"/>
  <c r="S62" i="5"/>
  <c r="R61" i="5"/>
  <c r="Q61" i="5"/>
  <c r="N61" i="5"/>
  <c r="M61" i="5"/>
  <c r="K61" i="5"/>
  <c r="E61" i="5"/>
  <c r="D61" i="5"/>
  <c r="C61" i="5"/>
  <c r="B61" i="5"/>
  <c r="R60" i="5"/>
  <c r="Q60" i="5"/>
  <c r="N60" i="5"/>
  <c r="M60" i="5"/>
  <c r="K60" i="5"/>
  <c r="E60" i="5"/>
  <c r="D60" i="5"/>
  <c r="C60" i="5"/>
  <c r="B60" i="5"/>
  <c r="R170" i="4"/>
  <c r="Q170" i="4"/>
  <c r="N170" i="4"/>
  <c r="M170" i="4"/>
  <c r="K170" i="4"/>
  <c r="E170" i="4"/>
  <c r="D170" i="4"/>
  <c r="C170" i="4"/>
  <c r="B170" i="4"/>
  <c r="R169" i="4"/>
  <c r="Q169" i="4"/>
  <c r="N169" i="4"/>
  <c r="M169" i="4"/>
  <c r="K169" i="4"/>
  <c r="E169" i="4"/>
  <c r="D169" i="4"/>
  <c r="C169" i="4"/>
  <c r="B169" i="4"/>
  <c r="R168" i="4"/>
  <c r="Q168" i="4"/>
  <c r="N168" i="4"/>
  <c r="M168" i="4"/>
  <c r="K168" i="4"/>
  <c r="E168" i="4"/>
  <c r="D168" i="4"/>
  <c r="C168" i="4"/>
  <c r="B168" i="4"/>
  <c r="R167" i="4"/>
  <c r="Q167" i="4"/>
  <c r="N167" i="4"/>
  <c r="M167" i="4"/>
  <c r="K167" i="4"/>
  <c r="E167" i="4"/>
  <c r="D167" i="4"/>
  <c r="C167" i="4"/>
  <c r="B167" i="4"/>
  <c r="R166" i="4"/>
  <c r="Q166" i="4"/>
  <c r="N166" i="4"/>
  <c r="M166" i="4"/>
  <c r="K166" i="4"/>
  <c r="E166" i="4"/>
  <c r="D166" i="4"/>
  <c r="C166" i="4"/>
  <c r="B166" i="4"/>
  <c r="S61" i="5" l="1"/>
  <c r="S60" i="5"/>
  <c r="S168" i="4"/>
  <c r="S167" i="4"/>
  <c r="S169" i="4"/>
  <c r="S170" i="4"/>
  <c r="S166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S165" i="4"/>
  <c r="S164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<sst xmlns="http://schemas.openxmlformats.org/spreadsheetml/2006/main" count="199" uniqueCount="52">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</sst>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F19" sqref="F19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44592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93"/>
  <sheetViews>
    <sheetView tabSelected="1" workbookViewId="0">
      <pane xSplit="1" ySplit="7" topLeftCell="B167" activePane="bottomRight" state="frozen"/>
      <selection pane="topRight" activeCell="B1" sqref="B1"/>
      <selection pane="bottomLeft" activeCell="A7" sqref="A7"/>
      <selection pane="bottomRight" activeCell="A175" sqref="A175:XFD176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76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64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64">
        <v>44227</v>
      </c>
      <c r="B164" s="31">
        <f>1156864.7+22078.1</f>
        <v>1178942.8</v>
      </c>
      <c r="C164" s="31">
        <f>611565.3+3166.9+3279.2+21221.8+5393.1</f>
        <v>644626.30000000005</v>
      </c>
      <c r="D164" s="34">
        <f>163496.6+14284.4+70.7+2631.5+232.8</f>
        <v>180716</v>
      </c>
      <c r="E164" s="34">
        <f>62265.2+58.4</f>
        <v>62323.6</v>
      </c>
      <c r="F164" s="34">
        <v>48993.5</v>
      </c>
      <c r="G164" s="34">
        <v>836.00000000000011</v>
      </c>
      <c r="H164" s="25">
        <v>3073.7</v>
      </c>
      <c r="I164" s="25">
        <f>0+3458.8</f>
        <v>3458.8</v>
      </c>
      <c r="J164" s="25">
        <v>299135.7</v>
      </c>
      <c r="K164" s="31">
        <f>52942.4+17532.6+10064.4+66</f>
        <v>80605.399999999994</v>
      </c>
      <c r="L164" s="25">
        <v>29471.5</v>
      </c>
      <c r="M164" s="25">
        <f>12980.9+3483.9</f>
        <v>16464.8</v>
      </c>
      <c r="N164" s="25">
        <f>338899.1+561.3+75.7</f>
        <v>339536.1</v>
      </c>
      <c r="O164" s="27">
        <v>381978.39999999997</v>
      </c>
      <c r="P164" s="28">
        <v>167858.40000000002</v>
      </c>
      <c r="Q164" s="33">
        <f>260.8+13036.1+666.2+0-7257.9-31.4-8000</f>
        <v>-1326.1999999999989</v>
      </c>
      <c r="R164" s="34">
        <f>92750+76211.7+2857-17532.6-22078.1</f>
        <v>132208</v>
      </c>
      <c r="S164" s="27">
        <f t="shared" si="3"/>
        <v>3568902.8</v>
      </c>
    </row>
    <row r="165" spans="1:19" s="23" customFormat="1" x14ac:dyDescent="0.25">
      <c r="A165" s="64">
        <v>44255</v>
      </c>
      <c r="B165" s="31">
        <f>1186153.3+20096.1</f>
        <v>1206249.4000000001</v>
      </c>
      <c r="C165" s="31">
        <f>630989.3+3166.9+3382.7+23513.2+5439.7</f>
        <v>666491.79999999993</v>
      </c>
      <c r="D165" s="34">
        <f>163269.2+15782.8+71+4599.2+233</f>
        <v>183955.20000000001</v>
      </c>
      <c r="E165" s="34">
        <f>58382.2+58.4</f>
        <v>58440.6</v>
      </c>
      <c r="F165" s="34">
        <v>49556.6</v>
      </c>
      <c r="G165" s="34">
        <v>1021.4</v>
      </c>
      <c r="H165" s="25">
        <v>3603.9</v>
      </c>
      <c r="I165" s="25">
        <f>0+3460.1</f>
        <v>3460.1</v>
      </c>
      <c r="J165" s="25">
        <v>293901.2</v>
      </c>
      <c r="K165" s="31">
        <f>49096.2+15275.7+8633.5+33.5</f>
        <v>73038.899999999994</v>
      </c>
      <c r="L165" s="25">
        <v>29101.7</v>
      </c>
      <c r="M165" s="25">
        <f>25902+19081.4</f>
        <v>44983.4</v>
      </c>
      <c r="N165" s="25">
        <f>328359.3+559+75.7</f>
        <v>328994</v>
      </c>
      <c r="O165" s="27">
        <v>382766.29999999993</v>
      </c>
      <c r="P165" s="28">
        <v>177366.7</v>
      </c>
      <c r="Q165" s="33">
        <f>83.8+8088.2+1133.8+0-8083.7-31.4-0</f>
        <v>1190.6999999999994</v>
      </c>
      <c r="R165" s="34">
        <f>89761.7+76663.7+4368.6-15275.7-20096.1</f>
        <v>135422.19999999998</v>
      </c>
      <c r="S165" s="27">
        <f t="shared" si="3"/>
        <v>3639544.1000000006</v>
      </c>
    </row>
    <row r="166" spans="1:19" s="23" customFormat="1" x14ac:dyDescent="0.25">
      <c r="A166" s="64">
        <v>44286</v>
      </c>
      <c r="B166" s="31">
        <f>1179405.1+22815.2</f>
        <v>1202220.3</v>
      </c>
      <c r="C166" s="31">
        <f>649243.4+3077.3+2269.7+24359.6+5525.5</f>
        <v>684475.5</v>
      </c>
      <c r="D166" s="34">
        <f>169012.1+16489.4+29.4+2310.8+367.2</f>
        <v>188208.9</v>
      </c>
      <c r="E166" s="34">
        <f>72990.8+58.4</f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f>61106.5+15244.8+22791.8+34</f>
        <v>99177.1</v>
      </c>
      <c r="L166" s="25">
        <v>28206.799999999996</v>
      </c>
      <c r="M166" s="25">
        <f>1065.5+21080.2</f>
        <v>22145.7</v>
      </c>
      <c r="N166" s="25">
        <f>318141.6+563.7+73.8</f>
        <v>318779.09999999998</v>
      </c>
      <c r="O166" s="27">
        <v>449838.1</v>
      </c>
      <c r="P166" s="28">
        <v>90021.900000000009</v>
      </c>
      <c r="Q166" s="33">
        <f>19.3+18932.8+1378.7+0+96.3-16822.7-31.4-0</f>
        <v>3572.9999999999977</v>
      </c>
      <c r="R166" s="34">
        <f>93769.6+77293.7+3533.4-15244.8-22815.2</f>
        <v>136536.69999999998</v>
      </c>
      <c r="S166" s="27">
        <f t="shared" si="3"/>
        <v>3642870.4000000004</v>
      </c>
    </row>
    <row r="167" spans="1:19" s="23" customFormat="1" x14ac:dyDescent="0.25">
      <c r="A167" s="64">
        <v>44316</v>
      </c>
      <c r="B167" s="31">
        <f>1165726.1+19303.2</f>
        <v>1185029.3</v>
      </c>
      <c r="C167" s="31">
        <f>654628.5+118.2+2446+27550.3+5750.2</f>
        <v>690493.2</v>
      </c>
      <c r="D167" s="34">
        <f>160186.1+17278.4+29.4+2546.1+221.9</f>
        <v>180261.9</v>
      </c>
      <c r="E167" s="34">
        <f>69984.7+58.4</f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f>80875.2+12787.5+6824.5+34</f>
        <v>100521.2</v>
      </c>
      <c r="L167" s="25">
        <v>43346.8</v>
      </c>
      <c r="M167" s="25">
        <f>9208.9+6539.5</f>
        <v>15748.4</v>
      </c>
      <c r="N167" s="25">
        <f>324089+567.8+76.4</f>
        <v>324733.2</v>
      </c>
      <c r="O167" s="27">
        <v>451250.7</v>
      </c>
      <c r="P167" s="28">
        <v>99618.6</v>
      </c>
      <c r="Q167" s="33">
        <f>627.5+32146.2+1049.9+0+95.6-32088.7-31.4-0</f>
        <v>1799.0999999999963</v>
      </c>
      <c r="R167" s="34">
        <f>83782.4+77247.7+3262.1-12787.5-19303.2</f>
        <v>132201.49999999997</v>
      </c>
      <c r="S167" s="27">
        <f t="shared" si="3"/>
        <v>3684947.9000000008</v>
      </c>
    </row>
    <row r="168" spans="1:19" s="23" customFormat="1" x14ac:dyDescent="0.25">
      <c r="A168" s="64">
        <v>44347</v>
      </c>
      <c r="B168" s="31">
        <f>1217732.2+22538</f>
        <v>1240270.2</v>
      </c>
      <c r="C168" s="31">
        <f>644248.8+118.2+2178+24970.6+5579.1</f>
        <v>677094.7</v>
      </c>
      <c r="D168" s="34">
        <f>164101.5+17547.3+29.6+2653.9+204.6</f>
        <v>184536.9</v>
      </c>
      <c r="E168" s="34">
        <f>69399.1+58.4</f>
        <v>69457.5</v>
      </c>
      <c r="F168" s="34">
        <v>59127.6</v>
      </c>
      <c r="G168" s="34">
        <v>941.69999999999993</v>
      </c>
      <c r="H168" s="25">
        <v>3547.2000000000003</v>
      </c>
      <c r="I168" s="25">
        <v>3165.5</v>
      </c>
      <c r="J168" s="25">
        <v>337369.5</v>
      </c>
      <c r="K168" s="31">
        <f>79799.7+14037.5+6418.3+34</f>
        <v>100289.5</v>
      </c>
      <c r="L168" s="25">
        <v>37618.800000000003</v>
      </c>
      <c r="M168" s="25">
        <f>7287.9+6568</f>
        <v>13855.9</v>
      </c>
      <c r="N168" s="25">
        <f>320733.5+560.3+77</f>
        <v>321370.8</v>
      </c>
      <c r="O168" s="27">
        <v>457617.39999999997</v>
      </c>
      <c r="P168" s="28">
        <v>103628</v>
      </c>
      <c r="Q168" s="33">
        <f>1438+42653.8+1463.3+0+95.6-31710.2-31.4-10922.2</f>
        <v>2986.9000000000033</v>
      </c>
      <c r="R168" s="34">
        <f>93336.4+78107.8+7087.4-14037.5-22538</f>
        <v>141956.1</v>
      </c>
      <c r="S168" s="27">
        <f t="shared" si="3"/>
        <v>3754834.1999999997</v>
      </c>
    </row>
    <row r="169" spans="1:19" s="23" customFormat="1" x14ac:dyDescent="0.25">
      <c r="A169" s="64">
        <v>44377</v>
      </c>
      <c r="B169" s="31">
        <f>1258468.3+28354.5</f>
        <v>1286822.8</v>
      </c>
      <c r="C169" s="31">
        <f>687257.1+28+2086.8+25075.7+7166.6</f>
        <v>721614.2</v>
      </c>
      <c r="D169" s="34">
        <f>169065.8+17375.6+29.6+2822.7+205.1</f>
        <v>189498.80000000002</v>
      </c>
      <c r="E169" s="34">
        <f>83237.9+58.4</f>
        <v>83296.299999999988</v>
      </c>
      <c r="F169" s="34">
        <v>68262</v>
      </c>
      <c r="G169" s="34">
        <v>928.99999999999989</v>
      </c>
      <c r="H169" s="25">
        <v>4514.8000000000011</v>
      </c>
      <c r="I169" s="25">
        <v>3152.2999999999997</v>
      </c>
      <c r="J169" s="25">
        <v>326958.8</v>
      </c>
      <c r="K169" s="31">
        <f>66687.1+14707.3+25634.2+34</f>
        <v>107062.6</v>
      </c>
      <c r="L169" s="25">
        <v>43190.3</v>
      </c>
      <c r="M169" s="25">
        <f>3703.1+112.2</f>
        <v>3815.2999999999997</v>
      </c>
      <c r="N169" s="25">
        <f>364992.7+571.2+75.6</f>
        <v>365639.5</v>
      </c>
      <c r="O169" s="27">
        <v>458055</v>
      </c>
      <c r="P169" s="28">
        <v>118526.59999999999</v>
      </c>
      <c r="Q169" s="33">
        <f>1771.8+64838.6+1311.3+0+95.6-61653.4-31.4-0</f>
        <v>6332.5000000000018</v>
      </c>
      <c r="R169" s="34">
        <f>102078.3+77680.4+8612.7-14707.3-28354.5</f>
        <v>145309.60000000003</v>
      </c>
      <c r="S169" s="27">
        <f t="shared" si="3"/>
        <v>3932980.399999999</v>
      </c>
    </row>
    <row r="170" spans="1:19" s="23" customFormat="1" x14ac:dyDescent="0.25">
      <c r="A170" s="64">
        <v>44408</v>
      </c>
      <c r="B170" s="31">
        <f>1325842+20031</f>
        <v>1345873</v>
      </c>
      <c r="C170" s="31">
        <f>695466+28+2064.9+25638.7+7109.4</f>
        <v>730307</v>
      </c>
      <c r="D170" s="34">
        <f>167960.3+19952+29.7+2922.3+235.4</f>
        <v>191099.69999999998</v>
      </c>
      <c r="E170" s="34">
        <f>89078.7+58.4</f>
        <v>89137.099999999991</v>
      </c>
      <c r="F170" s="34">
        <v>77587.900000000009</v>
      </c>
      <c r="G170" s="34">
        <v>910.59999999999991</v>
      </c>
      <c r="H170" s="25">
        <v>1754.1999999999998</v>
      </c>
      <c r="I170" s="25">
        <v>3179.2</v>
      </c>
      <c r="J170" s="25">
        <v>338519.60000000003</v>
      </c>
      <c r="K170" s="31">
        <f>100225+16319.2+7670.7+34</f>
        <v>124248.9</v>
      </c>
      <c r="L170" s="25">
        <v>47449.5</v>
      </c>
      <c r="M170" s="25">
        <f>1172.1+112.4</f>
        <v>1284.5</v>
      </c>
      <c r="N170" s="25">
        <f>389182.5+590.2+75.6</f>
        <v>389848.3</v>
      </c>
      <c r="O170" s="27">
        <v>458032.69999999995</v>
      </c>
      <c r="P170" s="28">
        <v>134403.59999999998</v>
      </c>
      <c r="Q170" s="33">
        <f>176.8+83627.9+1237.6+0+95.6-65612.2-31.4-0</f>
        <v>19494.30000000001</v>
      </c>
      <c r="R170" s="34">
        <f>91467.9+79854.9+7381.3-16319.2-20031</f>
        <v>142353.89999999997</v>
      </c>
      <c r="S170" s="27">
        <f t="shared" si="3"/>
        <v>4095484</v>
      </c>
    </row>
    <row r="171" spans="1:19" s="23" customFormat="1" x14ac:dyDescent="0.25">
      <c r="A171" s="64">
        <v>44439</v>
      </c>
      <c r="B171" s="31">
        <f>1351091.6+20885.8</f>
        <v>1371977.4000000001</v>
      </c>
      <c r="C171" s="31">
        <f>736834.6+28+1969.8+24964.5+6559.1</f>
        <v>770356</v>
      </c>
      <c r="D171" s="34">
        <f>169208.9+15134.9+29.8+2869.4+226</f>
        <v>187468.99999999997</v>
      </c>
      <c r="E171" s="34">
        <f>71212+58.4</f>
        <v>71270.399999999994</v>
      </c>
      <c r="F171" s="34">
        <v>71812.5</v>
      </c>
      <c r="G171" s="34">
        <v>928.80000000000007</v>
      </c>
      <c r="H171" s="25">
        <v>5319.8</v>
      </c>
      <c r="I171" s="25">
        <v>3140.6</v>
      </c>
      <c r="J171" s="25">
        <v>373225.1</v>
      </c>
      <c r="K171" s="31">
        <f>6499.5+84682.2+20036.9+33.5</f>
        <v>111252.1</v>
      </c>
      <c r="L171" s="25">
        <v>46693.1</v>
      </c>
      <c r="M171" s="25">
        <f>11437.3+112.8</f>
        <v>11550.099999999999</v>
      </c>
      <c r="N171" s="25">
        <f>391095.4+558.9+75.5</f>
        <v>391729.80000000005</v>
      </c>
      <c r="O171" s="27">
        <v>457936.1</v>
      </c>
      <c r="P171" s="28">
        <v>149814.5</v>
      </c>
      <c r="Q171" s="33">
        <f>61.4+88887+95.6+702.9-88937.9-31.4-0</f>
        <v>777.6</v>
      </c>
      <c r="R171" s="34">
        <f>96668.5+79329.3+8004.3-20036.9-20885.8</f>
        <v>143079.4</v>
      </c>
      <c r="S171" s="27">
        <f t="shared" si="3"/>
        <v>4168332.3000000003</v>
      </c>
    </row>
    <row r="172" spans="1:19" s="23" customFormat="1" x14ac:dyDescent="0.25">
      <c r="A172" s="64">
        <v>44469</v>
      </c>
      <c r="B172" s="31">
        <f>1331006.3+25434.6</f>
        <v>1356440.9000000001</v>
      </c>
      <c r="C172" s="31">
        <f>826341.7+28+1593.7+23899.6+97070.7</f>
        <v>948933.69999999984</v>
      </c>
      <c r="D172" s="34">
        <f>179380.7+17277.2+29.9+2761.8+266.7</f>
        <v>199716.30000000002</v>
      </c>
      <c r="E172" s="34">
        <f>66723.3+58.4</f>
        <v>66781.7</v>
      </c>
      <c r="F172" s="34">
        <v>82765.8</v>
      </c>
      <c r="G172" s="34">
        <v>967.6</v>
      </c>
      <c r="H172" s="25">
        <v>1248.8999999999999</v>
      </c>
      <c r="I172" s="25">
        <v>3180.1</v>
      </c>
      <c r="J172" s="25">
        <v>405892.60000000003</v>
      </c>
      <c r="K172" s="31">
        <f>17323.6+65573.6+19990+33.5</f>
        <v>102920.70000000001</v>
      </c>
      <c r="L172" s="25">
        <v>42789.2</v>
      </c>
      <c r="M172" s="25">
        <f>5181.3+1.9</f>
        <v>5183.2</v>
      </c>
      <c r="N172" s="25">
        <f>428600.9+564.5+74.3</f>
        <v>429239.7</v>
      </c>
      <c r="O172" s="27">
        <v>490103.5</v>
      </c>
      <c r="P172" s="28">
        <v>169591.2</v>
      </c>
      <c r="Q172" s="33">
        <f>2239.2+112349.7+95.6+593.1-113852.6-31.4-0</f>
        <v>1393.6</v>
      </c>
      <c r="R172" s="34">
        <f>111925.3+102326.1+6177.4-19990-25434.6</f>
        <v>175004.2</v>
      </c>
      <c r="S172" s="27">
        <f t="shared" si="3"/>
        <v>4482152.9000000004</v>
      </c>
    </row>
    <row r="173" spans="1:19" s="23" customFormat="1" x14ac:dyDescent="0.25">
      <c r="A173" s="64">
        <v>44500</v>
      </c>
      <c r="B173" s="31">
        <f>1345766.5+21537.8</f>
        <v>1367304.3</v>
      </c>
      <c r="C173" s="31">
        <f>822837+28+2195.7+23741.3+97673</f>
        <v>946475</v>
      </c>
      <c r="D173" s="34">
        <f>195035.4+18291.4+29.9+4405.5+297.4</f>
        <v>218059.59999999998</v>
      </c>
      <c r="E173" s="34">
        <f>76796.9+56.2</f>
        <v>76853.099999999991</v>
      </c>
      <c r="F173" s="34">
        <v>73682.2</v>
      </c>
      <c r="G173" s="34">
        <v>1001.8</v>
      </c>
      <c r="H173" s="25">
        <v>928.99999999999989</v>
      </c>
      <c r="I173" s="25">
        <f>0.3+3186.1</f>
        <v>3186.4</v>
      </c>
      <c r="J173" s="25">
        <v>405120.1</v>
      </c>
      <c r="K173" s="31">
        <f>77643.4+9211.4+19650.7+33.5</f>
        <v>106538.99999999999</v>
      </c>
      <c r="L173" s="25">
        <v>51896</v>
      </c>
      <c r="M173" s="25">
        <f>1220.2+1.9</f>
        <v>1222.1000000000001</v>
      </c>
      <c r="N173" s="25">
        <f>413228.7+565+74.9</f>
        <v>413868.60000000003</v>
      </c>
      <c r="O173" s="27">
        <v>490929.39999999997</v>
      </c>
      <c r="P173" s="28">
        <v>182962.2</v>
      </c>
      <c r="Q173" s="33">
        <f>785.3+109020.1+0+637.2-114866.2-31.4-51.8</f>
        <v>-4506.7999999999911</v>
      </c>
      <c r="R173" s="34">
        <f>110550.6+103617.9+5733.2-19650.7-21537.8</f>
        <v>178713.2</v>
      </c>
      <c r="S173" s="27">
        <f t="shared" si="3"/>
        <v>4514235.2</v>
      </c>
    </row>
    <row r="174" spans="1:19" s="23" customFormat="1" x14ac:dyDescent="0.25">
      <c r="A174" s="64">
        <v>44501</v>
      </c>
      <c r="B174" s="31">
        <f>1315774.1+22048.4</f>
        <v>1337822.5</v>
      </c>
      <c r="C174" s="31">
        <f>838380.8+28+2805.9+40596.5+103581.6</f>
        <v>985392.8</v>
      </c>
      <c r="D174" s="34">
        <f>195739.4+18244+30+5414.2+318</f>
        <v>219745.6</v>
      </c>
      <c r="E174" s="34">
        <f>76156.7+58.4</f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f>0.3+3195.2</f>
        <v>3195.5</v>
      </c>
      <c r="J174" s="25">
        <v>513831.50000000006</v>
      </c>
      <c r="K174" s="31">
        <f>73750.8+7601.6+20594.6+33.5</f>
        <v>101980.5</v>
      </c>
      <c r="L174" s="25">
        <v>44006.400000000001</v>
      </c>
      <c r="M174" s="25">
        <f>1217.3+1.9</f>
        <v>1219.2</v>
      </c>
      <c r="N174" s="25">
        <f>379174.2+511.3+72.9</f>
        <v>379758.4</v>
      </c>
      <c r="O174" s="27">
        <v>491601.4</v>
      </c>
      <c r="P174" s="28">
        <v>195444.99999999997</v>
      </c>
      <c r="Q174" s="33">
        <f>877+98225.6+0+657.1-99311.2-31.4-121.5</f>
        <v>295.60000000001457</v>
      </c>
      <c r="R174" s="34">
        <f>117004.5+105202.7+6297.7-20594.6-22048.4</f>
        <v>185861.90000000002</v>
      </c>
      <c r="S174" s="27">
        <f t="shared" si="3"/>
        <v>4616701.3000000007</v>
      </c>
    </row>
    <row r="175" spans="1:19" s="23" customFormat="1" x14ac:dyDescent="0.25">
      <c r="A175" s="64">
        <v>44532</v>
      </c>
      <c r="B175" s="31">
        <f>1283924.8+27990.2</f>
        <v>1311915</v>
      </c>
      <c r="C175" s="31">
        <f>852330.5+28+1975.4+32377.6+102712.6</f>
        <v>989424.1</v>
      </c>
      <c r="D175" s="34">
        <f>202367.6+17096.3+30.1+4686+1677.4</f>
        <v>225857.4</v>
      </c>
      <c r="E175" s="34">
        <f>62711.8+56.2</f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f>0+3014.6</f>
        <v>3014.6</v>
      </c>
      <c r="J175" s="25">
        <v>512988.39999999997</v>
      </c>
      <c r="K175" s="31">
        <f>66325.8+19507+24965.3+33.5</f>
        <v>110831.6</v>
      </c>
      <c r="L175" s="25">
        <v>33877.5</v>
      </c>
      <c r="M175" s="25">
        <f>4748.4+1.9</f>
        <v>4750.2999999999993</v>
      </c>
      <c r="N175" s="25">
        <f>365723.1+530+73.1</f>
        <v>366326.19999999995</v>
      </c>
      <c r="O175" s="27">
        <v>488669.49999999994</v>
      </c>
      <c r="P175" s="28">
        <v>205894.19999999998</v>
      </c>
      <c r="Q175" s="33">
        <f>1371.7+103004.7+0+3804.3-99945.6-31.4-59-1.4</f>
        <v>8143.299999999992</v>
      </c>
      <c r="R175" s="34">
        <f>123164.8+103326.9+7801.6-24965.3-27990.2</f>
        <v>181337.80000000002</v>
      </c>
      <c r="S175" s="27">
        <f t="shared" si="3"/>
        <v>4598049.5999999996</v>
      </c>
    </row>
    <row r="176" spans="1:19" s="23" customFormat="1" x14ac:dyDescent="0.25">
      <c r="A176" s="64">
        <v>44564</v>
      </c>
      <c r="B176" s="31">
        <f>1454833.5+27406.7</f>
        <v>1482240.2</v>
      </c>
      <c r="C176" s="31">
        <f>844220.3+28+1499.1+28099.7+104488.9</f>
        <v>978336</v>
      </c>
      <c r="D176" s="34">
        <f>206327.8+17853.5+30.1+5240+1653.8</f>
        <v>231105.19999999998</v>
      </c>
      <c r="E176" s="34">
        <f>73519.1+56.2</f>
        <v>73575.3</v>
      </c>
      <c r="F176" s="34">
        <v>89338.599999999991</v>
      </c>
      <c r="G176" s="34">
        <v>1189.3</v>
      </c>
      <c r="H176" s="25">
        <v>2004.9999999999998</v>
      </c>
      <c r="I176" s="25">
        <f>0+3546.2</f>
        <v>3546.2</v>
      </c>
      <c r="J176" s="25">
        <v>486744.7</v>
      </c>
      <c r="K176" s="31">
        <f>67571.6+11477.9+22372.1+233.5</f>
        <v>101655.1</v>
      </c>
      <c r="L176" s="25">
        <v>45225.299999999996</v>
      </c>
      <c r="M176" s="25">
        <f>1261.5+1.9</f>
        <v>1263.4000000000001</v>
      </c>
      <c r="N176" s="25">
        <f>402452.9+510.5+72.4</f>
        <v>403035.80000000005</v>
      </c>
      <c r="O176" s="27">
        <v>490316</v>
      </c>
      <c r="P176" s="28">
        <v>219506.8</v>
      </c>
      <c r="Q176" s="33">
        <f>1051+98302.1+0+1107.7-73479.4-31.4-69.6-1.5</f>
        <v>26878.900000000009</v>
      </c>
      <c r="R176" s="34">
        <f>127871+112562.3+7940.1-22372.1-27406.7</f>
        <v>198594.59999999998</v>
      </c>
      <c r="S176" s="27">
        <f t="shared" si="3"/>
        <v>4834556.4000000004</v>
      </c>
    </row>
    <row r="177" spans="1:19" s="23" customFormat="1" x14ac:dyDescent="0.25">
      <c r="A177" s="64" t="s">
        <v>3</v>
      </c>
      <c r="B177" s="31"/>
      <c r="C177" s="31"/>
      <c r="D177" s="34"/>
      <c r="E177" s="34"/>
      <c r="F177" s="34"/>
      <c r="G177" s="34"/>
      <c r="H177" s="25"/>
      <c r="I177" s="25"/>
      <c r="J177" s="25"/>
      <c r="K177" s="31"/>
      <c r="L177" s="25"/>
      <c r="M177" s="25"/>
      <c r="N177" s="25"/>
      <c r="O177" s="27"/>
      <c r="P177" s="28"/>
      <c r="Q177" s="33"/>
      <c r="R177" s="34"/>
      <c r="S177" s="27"/>
    </row>
    <row r="178" spans="1:19" s="23" customFormat="1" x14ac:dyDescent="0.25">
      <c r="O178" s="35"/>
      <c r="P178" s="35"/>
      <c r="Q178" s="36"/>
      <c r="R178" s="35"/>
      <c r="S178" s="35"/>
    </row>
    <row r="180" spans="1:19" x14ac:dyDescent="0.25">
      <c r="B180" s="10"/>
      <c r="C180" s="10"/>
      <c r="D180" s="10"/>
    </row>
    <row r="181" spans="1:19" x14ac:dyDescent="0.25">
      <c r="B181" s="10"/>
      <c r="C181" s="10"/>
      <c r="D181" s="10"/>
    </row>
    <row r="182" spans="1:19" x14ac:dyDescent="0.25">
      <c r="B182" s="10"/>
      <c r="C182" s="10"/>
      <c r="D182" s="10"/>
    </row>
    <row r="183" spans="1:19" x14ac:dyDescent="0.25">
      <c r="B183" s="10"/>
      <c r="C183" s="10"/>
      <c r="D183" s="10"/>
    </row>
    <row r="184" spans="1:19" x14ac:dyDescent="0.25">
      <c r="B184" s="10"/>
      <c r="C184" s="10"/>
      <c r="D184" s="10"/>
    </row>
    <row r="185" spans="1:19" x14ac:dyDescent="0.25">
      <c r="B185" s="10"/>
      <c r="C185" s="10"/>
      <c r="D185" s="10"/>
    </row>
    <row r="186" spans="1:19" x14ac:dyDescent="0.25">
      <c r="B186" s="10"/>
      <c r="C186" s="10"/>
      <c r="D186" s="10"/>
    </row>
    <row r="187" spans="1:19" x14ac:dyDescent="0.25">
      <c r="B187" s="10"/>
      <c r="C187" s="10"/>
      <c r="D187" s="10"/>
    </row>
    <row r="188" spans="1:19" x14ac:dyDescent="0.25">
      <c r="B188" s="10"/>
      <c r="C188" s="10"/>
      <c r="D188" s="10"/>
    </row>
    <row r="189" spans="1:19" x14ac:dyDescent="0.25">
      <c r="B189" s="10"/>
      <c r="C189" s="10"/>
      <c r="D189" s="10"/>
    </row>
    <row r="190" spans="1:19" x14ac:dyDescent="0.25">
      <c r="B190" s="10"/>
      <c r="C190" s="10"/>
      <c r="D190" s="10"/>
    </row>
    <row r="191" spans="1:19" x14ac:dyDescent="0.25">
      <c r="B191" s="10"/>
      <c r="C191" s="10"/>
      <c r="D191" s="10"/>
    </row>
    <row r="192" spans="1:19" x14ac:dyDescent="0.25">
      <c r="B192" s="10"/>
      <c r="C192" s="10"/>
      <c r="D192" s="10"/>
    </row>
    <row r="193" spans="2:4" x14ac:dyDescent="0.25">
      <c r="B193" s="10"/>
      <c r="C193" s="10"/>
      <c r="D193" s="10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6"/>
  <sheetViews>
    <sheetView workbookViewId="0">
      <pane xSplit="1" ySplit="7" topLeftCell="R56" activePane="bottomRight" state="frozen"/>
      <selection pane="topRight" activeCell="B1" sqref="B1"/>
      <selection pane="bottomLeft" activeCell="A8" sqref="A8"/>
      <selection pane="bottomRight" activeCell="A63" sqref="A63:XFD63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64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64">
        <v>44286</v>
      </c>
      <c r="B60" s="31">
        <f>1179405.1+22815.2</f>
        <v>1202220.3</v>
      </c>
      <c r="C60" s="31">
        <f>649243.4+3077.3+2269.7+24359.6+5525.5</f>
        <v>684475.5</v>
      </c>
      <c r="D60" s="34">
        <f>169012.1+16489.4+29.4+2310.8+367.2</f>
        <v>188208.9</v>
      </c>
      <c r="E60" s="34">
        <f>72990.8+58.4</f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f>61106.5+15244.8+22791.8+34</f>
        <v>99177.1</v>
      </c>
      <c r="L60" s="25">
        <v>28206.799999999996</v>
      </c>
      <c r="M60" s="25">
        <f>1065.5+21080.2</f>
        <v>22145.7</v>
      </c>
      <c r="N60" s="25">
        <f>318141.6+563.7+73.8</f>
        <v>318779.09999999998</v>
      </c>
      <c r="O60" s="27">
        <v>449838.1</v>
      </c>
      <c r="P60" s="28">
        <v>90021.900000000009</v>
      </c>
      <c r="Q60" s="33">
        <f>19.3+18932.8+1378.7+0+96.3-16822.7-31.4-0</f>
        <v>3572.9999999999977</v>
      </c>
      <c r="R60" s="34">
        <f>93769.6+77293.7+3533.4-15244.8-22815.2</f>
        <v>136536.69999999998</v>
      </c>
      <c r="S60" s="27">
        <f t="shared" ref="S60:S61" si="11">SUM(B60:R60)</f>
        <v>3642870.4000000004</v>
      </c>
    </row>
    <row r="61" spans="1:19" s="23" customFormat="1" x14ac:dyDescent="0.25">
      <c r="A61" s="64">
        <v>44377</v>
      </c>
      <c r="B61" s="31">
        <f>1258468.3+28354.5</f>
        <v>1286822.8</v>
      </c>
      <c r="C61" s="31">
        <f>687257.1+28+2086.8+25075.7+7166.6</f>
        <v>721614.2</v>
      </c>
      <c r="D61" s="34">
        <f>169065.8+17375.6+29.6+2822.7+205.1</f>
        <v>189498.80000000002</v>
      </c>
      <c r="E61" s="34">
        <f>83237.9+58.4</f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f>66687.1+14707.3+25634.2+34</f>
        <v>107062.6</v>
      </c>
      <c r="L61" s="25">
        <v>43190.3</v>
      </c>
      <c r="M61" s="25">
        <f>3703.1+112.2</f>
        <v>3815.2999999999997</v>
      </c>
      <c r="N61" s="25">
        <f>364992.7+571.2+75.6</f>
        <v>365639.5</v>
      </c>
      <c r="O61" s="27">
        <v>458055</v>
      </c>
      <c r="P61" s="28">
        <v>118526.59999999999</v>
      </c>
      <c r="Q61" s="33">
        <f>1771.8+64838.6+1311.3+0+95.6-61653.4-31.4-0</f>
        <v>6332.5000000000018</v>
      </c>
      <c r="R61" s="34">
        <f>102078.3+77680.4+8612.7-14707.3-28354.5</f>
        <v>145309.60000000003</v>
      </c>
      <c r="S61" s="27">
        <f t="shared" si="11"/>
        <v>3932980.399999999</v>
      </c>
    </row>
    <row r="62" spans="1:19" s="23" customFormat="1" x14ac:dyDescent="0.25">
      <c r="A62" s="64">
        <v>44469</v>
      </c>
      <c r="B62" s="31">
        <f>1331006.3+25434.6</f>
        <v>1356440.9000000001</v>
      </c>
      <c r="C62" s="31">
        <f>826341.7+28+1593.7+23899.6+97070.7</f>
        <v>948933.69999999984</v>
      </c>
      <c r="D62" s="34">
        <f>179380.7+17277.2+29.9+2761.8+266.7</f>
        <v>199716.30000000002</v>
      </c>
      <c r="E62" s="34">
        <f>66723.3+58.4</f>
        <v>66781.7</v>
      </c>
      <c r="F62" s="34">
        <v>82765.8</v>
      </c>
      <c r="G62" s="34">
        <v>967.6</v>
      </c>
      <c r="H62" s="25">
        <v>1248.8999999999999</v>
      </c>
      <c r="I62" s="25">
        <v>3180.1</v>
      </c>
      <c r="J62" s="25">
        <v>405892.60000000003</v>
      </c>
      <c r="K62" s="31">
        <f>17323.6+65573.6+19990+33.5</f>
        <v>102920.70000000001</v>
      </c>
      <c r="L62" s="25">
        <v>42789.2</v>
      </c>
      <c r="M62" s="25">
        <f>5181.3+1.9</f>
        <v>5183.2</v>
      </c>
      <c r="N62" s="25">
        <f>428600.9+564.5+74.3</f>
        <v>429239.7</v>
      </c>
      <c r="O62" s="27">
        <v>490103.5</v>
      </c>
      <c r="P62" s="28">
        <v>169591.2</v>
      </c>
      <c r="Q62" s="33">
        <f>2239.2+112349.7+95.6+593.1-113852.6-31.4-0</f>
        <v>1393.6</v>
      </c>
      <c r="R62" s="34">
        <f>111925.3+102326.1+6177.4-19990-25434.6</f>
        <v>175004.2</v>
      </c>
      <c r="S62" s="27">
        <f t="shared" ref="S62" si="12">SUM(B62:R62)</f>
        <v>4482152.9000000004</v>
      </c>
    </row>
    <row r="63" spans="1:19" s="23" customFormat="1" x14ac:dyDescent="0.25">
      <c r="A63" s="64">
        <v>44532</v>
      </c>
      <c r="B63" s="31">
        <f>1283924.8+27990.2</f>
        <v>1311915</v>
      </c>
      <c r="C63" s="31">
        <f>852330.5+28+1975.4+32377.6+102712.6</f>
        <v>989424.1</v>
      </c>
      <c r="D63" s="34">
        <f>202367.6+17096.3+30.1+4686+1677.4</f>
        <v>225857.4</v>
      </c>
      <c r="E63" s="34">
        <f>62711.8+56.2</f>
        <v>62768</v>
      </c>
      <c r="F63" s="34">
        <v>88575.900000000009</v>
      </c>
      <c r="G63" s="34">
        <v>1237.9999999999998</v>
      </c>
      <c r="H63" s="25">
        <v>2437.7999999999997</v>
      </c>
      <c r="I63" s="25">
        <f>0+3014.6</f>
        <v>3014.6</v>
      </c>
      <c r="J63" s="25">
        <v>512988.39999999997</v>
      </c>
      <c r="K63" s="31">
        <f>66325.8+19507+24965.3+33.5</f>
        <v>110831.6</v>
      </c>
      <c r="L63" s="25">
        <v>33877.5</v>
      </c>
      <c r="M63" s="25">
        <f>4748.4+1.9</f>
        <v>4750.2999999999993</v>
      </c>
      <c r="N63" s="25">
        <f>365723.1+530+73.1</f>
        <v>366326.19999999995</v>
      </c>
      <c r="O63" s="27">
        <v>488669.49999999994</v>
      </c>
      <c r="P63" s="28">
        <v>205894.19999999998</v>
      </c>
      <c r="Q63" s="33">
        <f>1371.7+103004.7+0+3804.3-99945.6-31.4-59-1.4</f>
        <v>8143.299999999992</v>
      </c>
      <c r="R63" s="34">
        <f>123164.8+103326.9+7801.6-24965.3-27990.2</f>
        <v>181337.80000000002</v>
      </c>
      <c r="S63" s="27">
        <f t="shared" ref="S63" si="13">SUM(B63:R63)</f>
        <v>4598049.5999999996</v>
      </c>
    </row>
    <row r="64" spans="1:19" s="45" customFormat="1" x14ac:dyDescent="0.25">
      <c r="A64" s="46"/>
      <c r="B64" s="47"/>
      <c r="C64" s="4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9"/>
      <c r="P64" s="49"/>
      <c r="Q64" s="50"/>
      <c r="R64" s="49"/>
      <c r="S64" s="56"/>
    </row>
    <row r="65" spans="1:19" s="55" customFormat="1" ht="18.75" x14ac:dyDescent="0.3">
      <c r="A65" s="51" t="s">
        <v>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</row>
    <row r="66" spans="1:19" s="23" customFormat="1" x14ac:dyDescent="0.25">
      <c r="O66" s="35"/>
      <c r="P66" s="35"/>
      <c r="Q66" s="36"/>
      <c r="R66" s="35"/>
      <c r="S66" s="35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2" sqref="A22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9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9">
        <v>2021</v>
      </c>
      <c r="B21" s="31">
        <f>1283924.8+27990.2</f>
        <v>1311915</v>
      </c>
      <c r="C21" s="31">
        <f>852330.5+28+1975.4+32377.6+102712.6</f>
        <v>989424.1</v>
      </c>
      <c r="D21" s="34">
        <f>202367.6+17096.3+30.1+4686+1677.4</f>
        <v>225857.4</v>
      </c>
      <c r="E21" s="34">
        <f>62711.8+56.2</f>
        <v>62768</v>
      </c>
      <c r="F21" s="34">
        <v>88575.900000000009</v>
      </c>
      <c r="G21" s="34">
        <v>1237.9999999999998</v>
      </c>
      <c r="H21" s="25">
        <v>2437.7999999999997</v>
      </c>
      <c r="I21" s="25">
        <f>0+3014.6</f>
        <v>3014.6</v>
      </c>
      <c r="J21" s="25">
        <v>512988.39999999997</v>
      </c>
      <c r="K21" s="31">
        <f>66325.8+19507+24965.3+33.5</f>
        <v>110831.6</v>
      </c>
      <c r="L21" s="25">
        <v>33877.5</v>
      </c>
      <c r="M21" s="25">
        <f>4748.4+1.9</f>
        <v>4750.2999999999993</v>
      </c>
      <c r="N21" s="25">
        <f>365723.1+530+73.1</f>
        <v>366326.19999999995</v>
      </c>
      <c r="O21" s="27">
        <v>488669.49999999994</v>
      </c>
      <c r="P21" s="28">
        <v>205894.19999999998</v>
      </c>
      <c r="Q21" s="33">
        <f>1371.7+103004.7+0+3804.3-99945.6-31.4-59-1.4</f>
        <v>8143.299999999992</v>
      </c>
      <c r="R21" s="34">
        <f>123164.8+103326.9+7801.6-24965.3-27990.2</f>
        <v>181337.80000000002</v>
      </c>
      <c r="S21" s="27">
        <f t="shared" ref="S21" si="4">SUM(B21:R21)</f>
        <v>4598049.5999999996</v>
      </c>
    </row>
    <row r="22" spans="1:19" s="45" customFormat="1" x14ac:dyDescent="0.25">
      <c r="A22" s="46"/>
      <c r="B22" s="47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/>
      <c r="P22" s="49"/>
      <c r="Q22" s="50"/>
      <c r="R22" s="49"/>
      <c r="S22" s="56"/>
    </row>
    <row r="23" spans="1:19" s="55" customFormat="1" ht="18.75" x14ac:dyDescent="0.3">
      <c r="A23" s="51" t="s">
        <v>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</row>
    <row r="24" spans="1:19" s="23" customFormat="1" x14ac:dyDescent="0.25">
      <c r="O24" s="35"/>
      <c r="P24" s="35"/>
      <c r="Q24" s="36"/>
      <c r="R24" s="35"/>
      <c r="S24" s="35"/>
    </row>
  </sheetData>
  <mergeCells count="18"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2010-03-04T18:44:39Z</cp:lastPrinted>
  <dcterms:created xsi:type="dcterms:W3CDTF">2000-09-13T05:55:37Z</dcterms:created>
  <dcterms:modified xsi:type="dcterms:W3CDTF">2022-05-03T14:52:52Z</dcterms:modified>
</cp:coreProperties>
</file>