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24000" windowHeight="9135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66" i="5" l="1"/>
  <c r="Q66" i="5"/>
  <c r="N66" i="5"/>
  <c r="M66" i="5"/>
  <c r="K66" i="5"/>
  <c r="I66" i="5"/>
  <c r="E66" i="5"/>
  <c r="S66" i="5" s="1"/>
  <c r="D66" i="5"/>
  <c r="C66" i="5"/>
  <c r="B66" i="5"/>
  <c r="R184" i="4"/>
  <c r="S184" i="4" s="1"/>
  <c r="Q184" i="4"/>
  <c r="N184" i="4"/>
  <c r="M184" i="4"/>
  <c r="K184" i="4"/>
  <c r="I184" i="4"/>
  <c r="E184" i="4"/>
  <c r="D184" i="4"/>
  <c r="C184" i="4"/>
  <c r="B184" i="4"/>
  <c r="S183" i="4" l="1"/>
  <c r="R183" i="4"/>
  <c r="Q183" i="4"/>
  <c r="N183" i="4"/>
  <c r="M183" i="4"/>
  <c r="K183" i="4"/>
  <c r="I183" i="4"/>
  <c r="E183" i="4"/>
  <c r="D183" i="4"/>
  <c r="C183" i="4"/>
  <c r="B183" i="4"/>
  <c r="R182" i="4" l="1"/>
  <c r="Q182" i="4"/>
  <c r="N182" i="4"/>
  <c r="M182" i="4"/>
  <c r="K182" i="4"/>
  <c r="S182" i="4" s="1"/>
  <c r="I182" i="4"/>
  <c r="E182" i="4"/>
  <c r="D182" i="4"/>
  <c r="C182" i="4"/>
  <c r="B182" i="4"/>
  <c r="R181" i="4" l="1"/>
  <c r="Q181" i="4"/>
  <c r="N181" i="4"/>
  <c r="M181" i="4"/>
  <c r="K181" i="4"/>
  <c r="I181" i="4"/>
  <c r="S181" i="4" s="1"/>
  <c r="E181" i="4"/>
  <c r="D181" i="4"/>
  <c r="C181" i="4"/>
  <c r="B181" i="4"/>
  <c r="R65" i="5"/>
  <c r="Q65" i="5"/>
  <c r="N65" i="5"/>
  <c r="M65" i="5"/>
  <c r="K65" i="5"/>
  <c r="I65" i="5"/>
  <c r="S65" i="5" s="1"/>
  <c r="E65" i="5"/>
  <c r="D65" i="5"/>
  <c r="C65" i="5"/>
  <c r="B65" i="5"/>
  <c r="S179" i="4" l="1"/>
  <c r="R179" i="4"/>
  <c r="Q179" i="4"/>
  <c r="N179" i="4"/>
  <c r="M179" i="4"/>
  <c r="K179" i="4"/>
  <c r="I179" i="4"/>
  <c r="E179" i="4"/>
  <c r="D179" i="4"/>
  <c r="C179" i="4"/>
  <c r="B179" i="4"/>
  <c r="R64" i="5" l="1"/>
  <c r="Q64" i="5"/>
  <c r="N64" i="5"/>
  <c r="M64" i="5"/>
  <c r="K64" i="5"/>
  <c r="I64" i="5"/>
  <c r="E64" i="5"/>
  <c r="D64" i="5"/>
  <c r="C64" i="5"/>
  <c r="B64" i="5"/>
  <c r="R178" i="4"/>
  <c r="Q178" i="4"/>
  <c r="N178" i="4"/>
  <c r="M178" i="4"/>
  <c r="K178" i="4"/>
  <c r="I178" i="4"/>
  <c r="E178" i="4"/>
  <c r="D178" i="4"/>
  <c r="C178" i="4"/>
  <c r="S178" i="4" s="1"/>
  <c r="B178" i="4"/>
  <c r="S64" i="5" l="1"/>
  <c r="R177" i="4"/>
  <c r="Q177" i="4"/>
  <c r="N177" i="4"/>
  <c r="M177" i="4"/>
  <c r="K177" i="4"/>
  <c r="S177" i="4" s="1"/>
  <c r="I177" i="4"/>
  <c r="E177" i="4"/>
  <c r="D177" i="4"/>
  <c r="C177" i="4"/>
  <c r="R176" i="4" l="1"/>
  <c r="Q176" i="4"/>
  <c r="N176" i="4"/>
  <c r="M176" i="4"/>
  <c r="S176" i="4" s="1"/>
  <c r="K176" i="4"/>
  <c r="I176" i="4"/>
  <c r="E176" i="4"/>
  <c r="D176" i="4"/>
  <c r="C176" i="4"/>
  <c r="B176" i="4"/>
  <c r="R21" i="3" l="1"/>
  <c r="Q21" i="3"/>
  <c r="N21" i="3"/>
  <c r="M21" i="3"/>
  <c r="K21" i="3"/>
  <c r="I21" i="3"/>
  <c r="E21" i="3"/>
  <c r="D21" i="3"/>
  <c r="C21" i="3"/>
  <c r="B21" i="3"/>
  <c r="S21" i="3" s="1"/>
  <c r="R63" i="5"/>
  <c r="Q63" i="5"/>
  <c r="N63" i="5"/>
  <c r="M63" i="5"/>
  <c r="K63" i="5"/>
  <c r="I63" i="5"/>
  <c r="E63" i="5"/>
  <c r="D63" i="5"/>
  <c r="C63" i="5"/>
  <c r="S63" i="5" s="1"/>
  <c r="B63" i="5"/>
  <c r="R175" i="4"/>
  <c r="Q175" i="4"/>
  <c r="N175" i="4"/>
  <c r="M175" i="4"/>
  <c r="S175" i="4" s="1"/>
  <c r="K175" i="4"/>
  <c r="I175" i="4"/>
  <c r="E175" i="4"/>
  <c r="D175" i="4"/>
  <c r="C175" i="4"/>
  <c r="B175" i="4"/>
  <c r="R174" i="4"/>
  <c r="Q174" i="4"/>
  <c r="N174" i="4"/>
  <c r="M174" i="4"/>
  <c r="K174" i="4"/>
  <c r="S174" i="4" s="1"/>
  <c r="I174" i="4"/>
  <c r="E174" i="4"/>
  <c r="D174" i="4"/>
  <c r="C174" i="4"/>
  <c r="B174" i="4"/>
  <c r="R173" i="4" l="1"/>
  <c r="Q173" i="4"/>
  <c r="N173" i="4"/>
  <c r="M173" i="4"/>
  <c r="K173" i="4"/>
  <c r="I173" i="4"/>
  <c r="E173" i="4"/>
  <c r="D173" i="4"/>
  <c r="C173" i="4"/>
  <c r="B173" i="4"/>
  <c r="S173" i="4" s="1"/>
  <c r="R62" i="5" l="1"/>
  <c r="Q62" i="5"/>
  <c r="N62" i="5"/>
  <c r="M62" i="5"/>
  <c r="K62" i="5"/>
  <c r="E62" i="5"/>
  <c r="D62" i="5"/>
  <c r="C62" i="5"/>
  <c r="B62" i="5"/>
  <c r="R172" i="4"/>
  <c r="Q172" i="4"/>
  <c r="N172" i="4"/>
  <c r="M172" i="4"/>
  <c r="K172" i="4"/>
  <c r="E172" i="4"/>
  <c r="D172" i="4"/>
  <c r="C172" i="4"/>
  <c r="B172" i="4"/>
  <c r="R171" i="4"/>
  <c r="Q171" i="4"/>
  <c r="N171" i="4"/>
  <c r="M171" i="4"/>
  <c r="K171" i="4"/>
  <c r="E171" i="4"/>
  <c r="D171" i="4"/>
  <c r="C171" i="4"/>
  <c r="B171" i="4"/>
  <c r="S171" i="4" s="1"/>
  <c r="S172" i="4" l="1"/>
  <c r="S62" i="5"/>
  <c r="R61" i="5"/>
  <c r="Q61" i="5"/>
  <c r="N61" i="5"/>
  <c r="M61" i="5"/>
  <c r="K61" i="5"/>
  <c r="E61" i="5"/>
  <c r="D61" i="5"/>
  <c r="C61" i="5"/>
  <c r="B61" i="5"/>
  <c r="R60" i="5"/>
  <c r="Q60" i="5"/>
  <c r="N60" i="5"/>
  <c r="M60" i="5"/>
  <c r="K60" i="5"/>
  <c r="E60" i="5"/>
  <c r="D60" i="5"/>
  <c r="C60" i="5"/>
  <c r="B60" i="5"/>
  <c r="R170" i="4"/>
  <c r="Q170" i="4"/>
  <c r="N170" i="4"/>
  <c r="M170" i="4"/>
  <c r="K170" i="4"/>
  <c r="E170" i="4"/>
  <c r="D170" i="4"/>
  <c r="C170" i="4"/>
  <c r="B170" i="4"/>
  <c r="R169" i="4"/>
  <c r="Q169" i="4"/>
  <c r="N169" i="4"/>
  <c r="M169" i="4"/>
  <c r="K169" i="4"/>
  <c r="E169" i="4"/>
  <c r="D169" i="4"/>
  <c r="C169" i="4"/>
  <c r="B169" i="4"/>
  <c r="R168" i="4"/>
  <c r="Q168" i="4"/>
  <c r="N168" i="4"/>
  <c r="M168" i="4"/>
  <c r="K168" i="4"/>
  <c r="E168" i="4"/>
  <c r="D168" i="4"/>
  <c r="C168" i="4"/>
  <c r="B168" i="4"/>
  <c r="R167" i="4"/>
  <c r="Q167" i="4"/>
  <c r="N167" i="4"/>
  <c r="M167" i="4"/>
  <c r="K167" i="4"/>
  <c r="E167" i="4"/>
  <c r="D167" i="4"/>
  <c r="C167" i="4"/>
  <c r="B167" i="4"/>
  <c r="R166" i="4"/>
  <c r="Q166" i="4"/>
  <c r="N166" i="4"/>
  <c r="M166" i="4"/>
  <c r="K166" i="4"/>
  <c r="E166" i="4"/>
  <c r="D166" i="4"/>
  <c r="C166" i="4"/>
  <c r="B166" i="4"/>
  <c r="S61" i="5" l="1"/>
  <c r="S60" i="5"/>
  <c r="S168" i="4"/>
  <c r="S167" i="4"/>
  <c r="S169" i="4"/>
  <c r="S170" i="4"/>
  <c r="S166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S165" i="4"/>
  <c r="S164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<sst xmlns="http://schemas.openxmlformats.org/spreadsheetml/2006/main" count="199" uniqueCount="52">
  <si>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</si>
  <si>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</si>
  <si>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</si>
  <si>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</si>
  <si>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</si>
  <si>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</si>
  <si>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</si>
  <si>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</si>
  <si>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</si>
  <si>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</si>
  <si>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</si>
  <si>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</si>
  <si>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</si>
  <si>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</si>
  <si>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</si>
  <si>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</si>
  <si>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</si>
  <si>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</si>
  <si>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</si>
  <si>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</si>
  <si>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</si>
  <si>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</si>
  <si>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</si>
  <si>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</si>
  <si>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</si>
  <si>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</si>
  <si>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</si>
  <si>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</si>
  <si>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</si>
  <si>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</si>
  <si>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</si>
  <si>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</si>
  <si>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</si>
  <si>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</si>
  <si>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</si>
  <si>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</si>
  <si>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</si>
  <si>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</si>
  <si>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</si>
  <si>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</si>
  <si>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</si>
  <si>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</si>
  <si>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</si>
  <si>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</si>
  <si>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</si>
  <si>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</si>
  <si>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</si>
  <si>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</si>
  <si>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</si>
  <si>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</si>
  <si>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2021</t>
  </si>
  <si>
    <t>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</si>
</sst>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6" borderId="8" xfId="0" applyNumberFormat="1" applyFont="1" applyFill="1" applyBorder="1" applyAlignment="1" applyProtection="1">
      <alignment horizont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F19" sqref="F19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44864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02"/>
  <sheetViews>
    <sheetView workbookViewId="0">
      <pane xSplit="1" ySplit="7" topLeftCell="B176" activePane="bottomRight" state="frozen"/>
      <selection pane="topRight" activeCell="B1" sqref="B1"/>
      <selection pane="bottomLeft" activeCell="A7" sqref="A7"/>
      <selection pane="bottomRight" activeCell="C185" sqref="C185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76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64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64">
        <v>44227</v>
      </c>
      <c r="B164" s="31">
        <f>1156864.7+22078.1</f>
        <v>1178942.8</v>
      </c>
      <c r="C164" s="31">
        <f>611565.3+3166.9+3279.2+21221.8+5393.1</f>
        <v>644626.30000000005</v>
      </c>
      <c r="D164" s="34">
        <f>163496.6+14284.4+70.7+2631.5+232.8</f>
        <v>180716</v>
      </c>
      <c r="E164" s="34">
        <f>62265.2+58.4</f>
        <v>62323.6</v>
      </c>
      <c r="F164" s="34">
        <v>48993.5</v>
      </c>
      <c r="G164" s="34">
        <v>836.00000000000011</v>
      </c>
      <c r="H164" s="25">
        <v>3073.7</v>
      </c>
      <c r="I164" s="25">
        <f>0+3458.8</f>
        <v>3458.8</v>
      </c>
      <c r="J164" s="25">
        <v>299135.7</v>
      </c>
      <c r="K164" s="31">
        <f>52942.4+17532.6+10064.4+66</f>
        <v>80605.399999999994</v>
      </c>
      <c r="L164" s="25">
        <v>29471.5</v>
      </c>
      <c r="M164" s="25">
        <f>12980.9+3483.9</f>
        <v>16464.8</v>
      </c>
      <c r="N164" s="25">
        <f>338899.1+561.3+75.7</f>
        <v>339536.1</v>
      </c>
      <c r="O164" s="27">
        <v>381978.39999999997</v>
      </c>
      <c r="P164" s="28">
        <v>167858.40000000002</v>
      </c>
      <c r="Q164" s="33">
        <f>260.8+13036.1+666.2+0-7257.9-31.4-8000</f>
        <v>-1326.1999999999989</v>
      </c>
      <c r="R164" s="34">
        <f>92750+76211.7+2857-17532.6-22078.1</f>
        <v>132208</v>
      </c>
      <c r="S164" s="27">
        <f t="shared" si="3"/>
        <v>3568902.8</v>
      </c>
    </row>
    <row r="165" spans="1:19" s="23" customFormat="1" x14ac:dyDescent="0.25">
      <c r="A165" s="64">
        <v>44255</v>
      </c>
      <c r="B165" s="31">
        <f>1186153.3+20096.1</f>
        <v>1206249.4000000001</v>
      </c>
      <c r="C165" s="31">
        <f>630989.3+3166.9+3382.7+23513.2+5439.7</f>
        <v>666491.79999999993</v>
      </c>
      <c r="D165" s="34">
        <f>163269.2+15782.8+71+4599.2+233</f>
        <v>183955.20000000001</v>
      </c>
      <c r="E165" s="34">
        <f>58382.2+58.4</f>
        <v>58440.6</v>
      </c>
      <c r="F165" s="34">
        <v>49556.6</v>
      </c>
      <c r="G165" s="34">
        <v>1021.4</v>
      </c>
      <c r="H165" s="25">
        <v>3603.9</v>
      </c>
      <c r="I165" s="25">
        <f>0+3460.1</f>
        <v>3460.1</v>
      </c>
      <c r="J165" s="25">
        <v>293901.2</v>
      </c>
      <c r="K165" s="31">
        <f>49096.2+15275.7+8633.5+33.5</f>
        <v>73038.899999999994</v>
      </c>
      <c r="L165" s="25">
        <v>29101.7</v>
      </c>
      <c r="M165" s="25">
        <f>25902+19081.4</f>
        <v>44983.4</v>
      </c>
      <c r="N165" s="25">
        <f>328359.3+559+75.7</f>
        <v>328994</v>
      </c>
      <c r="O165" s="27">
        <v>382766.29999999993</v>
      </c>
      <c r="P165" s="28">
        <v>177366.7</v>
      </c>
      <c r="Q165" s="33">
        <f>83.8+8088.2+1133.8+0-8083.7-31.4-0</f>
        <v>1190.6999999999994</v>
      </c>
      <c r="R165" s="34">
        <f>89761.7+76663.7+4368.6-15275.7-20096.1</f>
        <v>135422.19999999998</v>
      </c>
      <c r="S165" s="27">
        <f t="shared" si="3"/>
        <v>3639544.1000000006</v>
      </c>
    </row>
    <row r="166" spans="1:19" s="23" customFormat="1" x14ac:dyDescent="0.25">
      <c r="A166" s="64">
        <v>44286</v>
      </c>
      <c r="B166" s="31">
        <f>1179405.1+22815.2</f>
        <v>1202220.3</v>
      </c>
      <c r="C166" s="31">
        <f>649243.4+3077.3+2269.7+24359.6+5525.5</f>
        <v>684475.5</v>
      </c>
      <c r="D166" s="34">
        <f>169012.1+16489.4+29.4+2310.8+367.2</f>
        <v>188208.9</v>
      </c>
      <c r="E166" s="34">
        <f>72990.8+58.4</f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f>61106.5+15244.8+22791.8+34</f>
        <v>99177.1</v>
      </c>
      <c r="L166" s="25">
        <v>28206.799999999996</v>
      </c>
      <c r="M166" s="25">
        <f>1065.5+21080.2</f>
        <v>22145.7</v>
      </c>
      <c r="N166" s="25">
        <f>318141.6+563.7+73.8</f>
        <v>318779.09999999998</v>
      </c>
      <c r="O166" s="27">
        <v>449838.1</v>
      </c>
      <c r="P166" s="28">
        <v>90021.900000000009</v>
      </c>
      <c r="Q166" s="33">
        <f>19.3+18932.8+1378.7+0+96.3-16822.7-31.4-0</f>
        <v>3572.9999999999977</v>
      </c>
      <c r="R166" s="34">
        <f>93769.6+77293.7+3533.4-15244.8-22815.2</f>
        <v>136536.69999999998</v>
      </c>
      <c r="S166" s="27">
        <f t="shared" si="3"/>
        <v>3642870.4000000004</v>
      </c>
    </row>
    <row r="167" spans="1:19" s="23" customFormat="1" x14ac:dyDescent="0.25">
      <c r="A167" s="64">
        <v>44316</v>
      </c>
      <c r="B167" s="31">
        <f>1165726.1+19303.2</f>
        <v>1185029.3</v>
      </c>
      <c r="C167" s="31">
        <f>654628.5+118.2+2446+27550.3+5750.2</f>
        <v>690493.2</v>
      </c>
      <c r="D167" s="34">
        <f>160186.1+17278.4+29.4+2546.1+221.9</f>
        <v>180261.9</v>
      </c>
      <c r="E167" s="34">
        <f>69984.7+58.4</f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f>80875.2+12787.5+6824.5+34</f>
        <v>100521.2</v>
      </c>
      <c r="L167" s="25">
        <v>43346.8</v>
      </c>
      <c r="M167" s="25">
        <f>9208.9+6539.5</f>
        <v>15748.4</v>
      </c>
      <c r="N167" s="25">
        <f>324089+567.8+76.4</f>
        <v>324733.2</v>
      </c>
      <c r="O167" s="27">
        <v>451250.7</v>
      </c>
      <c r="P167" s="28">
        <v>99618.6</v>
      </c>
      <c r="Q167" s="33">
        <f>627.5+32146.2+1049.9+0+95.6-32088.7-31.4-0</f>
        <v>1799.0999999999963</v>
      </c>
      <c r="R167" s="34">
        <f>83782.4+77247.7+3262.1-12787.5-19303.2</f>
        <v>132201.49999999997</v>
      </c>
      <c r="S167" s="27">
        <f t="shared" si="3"/>
        <v>3684947.9000000008</v>
      </c>
    </row>
    <row r="168" spans="1:19" s="23" customFormat="1" x14ac:dyDescent="0.25">
      <c r="A168" s="64">
        <v>44347</v>
      </c>
      <c r="B168" s="31">
        <f>1217732.2+22538</f>
        <v>1240270.2</v>
      </c>
      <c r="C168" s="31">
        <f>644248.8+118.2+2178+24970.6+5579.1</f>
        <v>677094.7</v>
      </c>
      <c r="D168" s="34">
        <f>164101.5+17547.3+29.6+2653.9+204.6</f>
        <v>184536.9</v>
      </c>
      <c r="E168" s="34">
        <f>69399.1+58.4</f>
        <v>69457.5</v>
      </c>
      <c r="F168" s="34">
        <v>59127.6</v>
      </c>
      <c r="G168" s="34">
        <v>941.69999999999993</v>
      </c>
      <c r="H168" s="25">
        <v>3547.2000000000003</v>
      </c>
      <c r="I168" s="25">
        <v>3165.5</v>
      </c>
      <c r="J168" s="25">
        <v>337369.5</v>
      </c>
      <c r="K168" s="31">
        <f>79799.7+14037.5+6418.3+34</f>
        <v>100289.5</v>
      </c>
      <c r="L168" s="25">
        <v>37618.800000000003</v>
      </c>
      <c r="M168" s="25">
        <f>7287.9+6568</f>
        <v>13855.9</v>
      </c>
      <c r="N168" s="25">
        <f>320733.5+560.3+77</f>
        <v>321370.8</v>
      </c>
      <c r="O168" s="27">
        <v>457617.39999999997</v>
      </c>
      <c r="P168" s="28">
        <v>103628</v>
      </c>
      <c r="Q168" s="33">
        <f>1438+42653.8+1463.3+0+95.6-31710.2-31.4-10922.2</f>
        <v>2986.9000000000033</v>
      </c>
      <c r="R168" s="34">
        <f>93336.4+78107.8+7087.4-14037.5-22538</f>
        <v>141956.1</v>
      </c>
      <c r="S168" s="27">
        <f t="shared" si="3"/>
        <v>3754834.1999999997</v>
      </c>
    </row>
    <row r="169" spans="1:19" s="23" customFormat="1" x14ac:dyDescent="0.25">
      <c r="A169" s="64">
        <v>44377</v>
      </c>
      <c r="B169" s="31">
        <f>1258468.3+28354.5</f>
        <v>1286822.8</v>
      </c>
      <c r="C169" s="31">
        <f>687257.1+28+2086.8+25075.7+7166.6</f>
        <v>721614.2</v>
      </c>
      <c r="D169" s="34">
        <f>169065.8+17375.6+29.6+2822.7+205.1</f>
        <v>189498.80000000002</v>
      </c>
      <c r="E169" s="34">
        <f>83237.9+58.4</f>
        <v>83296.299999999988</v>
      </c>
      <c r="F169" s="34">
        <v>68262</v>
      </c>
      <c r="G169" s="34">
        <v>928.99999999999989</v>
      </c>
      <c r="H169" s="25">
        <v>4514.8000000000011</v>
      </c>
      <c r="I169" s="25">
        <v>3152.2999999999997</v>
      </c>
      <c r="J169" s="25">
        <v>326958.8</v>
      </c>
      <c r="K169" s="31">
        <f>66687.1+14707.3+25634.2+34</f>
        <v>107062.6</v>
      </c>
      <c r="L169" s="25">
        <v>43190.3</v>
      </c>
      <c r="M169" s="25">
        <f>3703.1+112.2</f>
        <v>3815.2999999999997</v>
      </c>
      <c r="N169" s="25">
        <f>364992.7+571.2+75.6</f>
        <v>365639.5</v>
      </c>
      <c r="O169" s="27">
        <v>458055</v>
      </c>
      <c r="P169" s="28">
        <v>118526.59999999999</v>
      </c>
      <c r="Q169" s="33">
        <f>1771.8+64838.6+1311.3+0+95.6-61653.4-31.4-0</f>
        <v>6332.5000000000018</v>
      </c>
      <c r="R169" s="34">
        <f>102078.3+77680.4+8612.7-14707.3-28354.5</f>
        <v>145309.60000000003</v>
      </c>
      <c r="S169" s="27">
        <f t="shared" si="3"/>
        <v>3932980.399999999</v>
      </c>
    </row>
    <row r="170" spans="1:19" s="23" customFormat="1" x14ac:dyDescent="0.25">
      <c r="A170" s="64">
        <v>44408</v>
      </c>
      <c r="B170" s="31">
        <f>1325842+20031</f>
        <v>1345873</v>
      </c>
      <c r="C170" s="31">
        <f>695466+28+2064.9+25638.7+7109.4</f>
        <v>730307</v>
      </c>
      <c r="D170" s="34">
        <f>167960.3+19952+29.7+2922.3+235.4</f>
        <v>191099.69999999998</v>
      </c>
      <c r="E170" s="34">
        <f>89078.7+58.4</f>
        <v>89137.099999999991</v>
      </c>
      <c r="F170" s="34">
        <v>77587.900000000009</v>
      </c>
      <c r="G170" s="34">
        <v>910.59999999999991</v>
      </c>
      <c r="H170" s="25">
        <v>1754.1999999999998</v>
      </c>
      <c r="I170" s="25">
        <v>3179.2</v>
      </c>
      <c r="J170" s="25">
        <v>338519.60000000003</v>
      </c>
      <c r="K170" s="31">
        <f>100225+16319.2+7670.7+34</f>
        <v>124248.9</v>
      </c>
      <c r="L170" s="25">
        <v>47449.5</v>
      </c>
      <c r="M170" s="25">
        <f>1172.1+112.4</f>
        <v>1284.5</v>
      </c>
      <c r="N170" s="25">
        <f>389182.5+590.2+75.6</f>
        <v>389848.3</v>
      </c>
      <c r="O170" s="27">
        <v>458032.69999999995</v>
      </c>
      <c r="P170" s="28">
        <v>134403.59999999998</v>
      </c>
      <c r="Q170" s="33">
        <f>176.8+83627.9+1237.6+0+95.6-65612.2-31.4-0</f>
        <v>19494.30000000001</v>
      </c>
      <c r="R170" s="34">
        <f>91467.9+79854.9+7381.3-16319.2-20031</f>
        <v>142353.89999999997</v>
      </c>
      <c r="S170" s="27">
        <f t="shared" si="3"/>
        <v>4095484</v>
      </c>
    </row>
    <row r="171" spans="1:19" s="23" customFormat="1" x14ac:dyDescent="0.25">
      <c r="A171" s="64">
        <v>44439</v>
      </c>
      <c r="B171" s="31">
        <f>1351091.6+20885.8</f>
        <v>1371977.4000000001</v>
      </c>
      <c r="C171" s="31">
        <f>736834.6+28+1969.8+24964.5+6559.1</f>
        <v>770356</v>
      </c>
      <c r="D171" s="34">
        <f>169208.9+15134.9+29.8+2869.4+226</f>
        <v>187468.99999999997</v>
      </c>
      <c r="E171" s="34">
        <f>71212+58.4</f>
        <v>71270.399999999994</v>
      </c>
      <c r="F171" s="34">
        <v>71812.5</v>
      </c>
      <c r="G171" s="34">
        <v>928.80000000000007</v>
      </c>
      <c r="H171" s="25">
        <v>5319.8</v>
      </c>
      <c r="I171" s="25">
        <v>3140.6</v>
      </c>
      <c r="J171" s="25">
        <v>373225.1</v>
      </c>
      <c r="K171" s="31">
        <f>6499.5+84682.2+20036.9+33.5</f>
        <v>111252.1</v>
      </c>
      <c r="L171" s="25">
        <v>46693.1</v>
      </c>
      <c r="M171" s="25">
        <f>11437.3+112.8</f>
        <v>11550.099999999999</v>
      </c>
      <c r="N171" s="25">
        <f>391095.4+558.9+75.5</f>
        <v>391729.80000000005</v>
      </c>
      <c r="O171" s="27">
        <v>457936.1</v>
      </c>
      <c r="P171" s="28">
        <v>149814.5</v>
      </c>
      <c r="Q171" s="33">
        <f>61.4+88887+95.6+702.9-88937.9-31.4-0</f>
        <v>777.6</v>
      </c>
      <c r="R171" s="34">
        <f>96668.5+79329.3+8004.3-20036.9-20885.8</f>
        <v>143079.4</v>
      </c>
      <c r="S171" s="27">
        <f t="shared" si="3"/>
        <v>4168332.3000000003</v>
      </c>
    </row>
    <row r="172" spans="1:19" s="23" customFormat="1" x14ac:dyDescent="0.25">
      <c r="A172" s="64">
        <v>44469</v>
      </c>
      <c r="B172" s="31">
        <f>1331006.3+25434.6</f>
        <v>1356440.9000000001</v>
      </c>
      <c r="C172" s="31">
        <f>826341.7+28+1593.7+23899.6+97070.7</f>
        <v>948933.69999999984</v>
      </c>
      <c r="D172" s="34">
        <f>179380.7+17277.2+29.9+2761.8+266.7</f>
        <v>199716.30000000002</v>
      </c>
      <c r="E172" s="34">
        <f>66723.3+58.4</f>
        <v>66781.7</v>
      </c>
      <c r="F172" s="34">
        <v>82765.8</v>
      </c>
      <c r="G172" s="34">
        <v>967.6</v>
      </c>
      <c r="H172" s="25">
        <v>1248.8999999999999</v>
      </c>
      <c r="I172" s="25">
        <v>3180.1</v>
      </c>
      <c r="J172" s="25">
        <v>405892.60000000003</v>
      </c>
      <c r="K172" s="31">
        <f>17323.6+65573.6+19990+33.5</f>
        <v>102920.70000000001</v>
      </c>
      <c r="L172" s="25">
        <v>42789.2</v>
      </c>
      <c r="M172" s="25">
        <f>5181.3+1.9</f>
        <v>5183.2</v>
      </c>
      <c r="N172" s="25">
        <f>428600.9+564.5+74.3</f>
        <v>429239.7</v>
      </c>
      <c r="O172" s="27">
        <v>490103.5</v>
      </c>
      <c r="P172" s="28">
        <v>169591.2</v>
      </c>
      <c r="Q172" s="33">
        <f>2239.2+112349.7+95.6+593.1-113852.6-31.4-0</f>
        <v>1393.6</v>
      </c>
      <c r="R172" s="34">
        <f>111925.3+102326.1+6177.4-19990-25434.6</f>
        <v>175004.2</v>
      </c>
      <c r="S172" s="27">
        <f t="shared" si="3"/>
        <v>4482152.9000000004</v>
      </c>
    </row>
    <row r="173" spans="1:19" s="23" customFormat="1" x14ac:dyDescent="0.25">
      <c r="A173" s="64">
        <v>44500</v>
      </c>
      <c r="B173" s="31">
        <f>1345766.5+21537.8</f>
        <v>1367304.3</v>
      </c>
      <c r="C173" s="31">
        <f>822837+28+2195.7+23741.3+97673</f>
        <v>946475</v>
      </c>
      <c r="D173" s="34">
        <f>195035.4+18291.4+29.9+4405.5+297.4</f>
        <v>218059.59999999998</v>
      </c>
      <c r="E173" s="34">
        <f>76796.9+56.2</f>
        <v>76853.099999999991</v>
      </c>
      <c r="F173" s="34">
        <v>73682.2</v>
      </c>
      <c r="G173" s="34">
        <v>1001.8</v>
      </c>
      <c r="H173" s="25">
        <v>928.99999999999989</v>
      </c>
      <c r="I173" s="25">
        <f>0.3+3186.1</f>
        <v>3186.4</v>
      </c>
      <c r="J173" s="25">
        <v>405120.1</v>
      </c>
      <c r="K173" s="31">
        <f>77643.4+9211.4+19650.7+33.5</f>
        <v>106538.99999999999</v>
      </c>
      <c r="L173" s="25">
        <v>51896</v>
      </c>
      <c r="M173" s="25">
        <f>1220.2+1.9</f>
        <v>1222.1000000000001</v>
      </c>
      <c r="N173" s="25">
        <f>413228.7+565+74.9</f>
        <v>413868.60000000003</v>
      </c>
      <c r="O173" s="27">
        <v>490929.39999999997</v>
      </c>
      <c r="P173" s="28">
        <v>182962.2</v>
      </c>
      <c r="Q173" s="33">
        <f>785.3+109020.1+0+637.2-114866.2-31.4-51.8</f>
        <v>-4506.7999999999911</v>
      </c>
      <c r="R173" s="34">
        <f>110550.6+103617.9+5733.2-19650.7-21537.8</f>
        <v>178713.2</v>
      </c>
      <c r="S173" s="27">
        <f t="shared" si="3"/>
        <v>4514235.2</v>
      </c>
    </row>
    <row r="174" spans="1:19" s="23" customFormat="1" x14ac:dyDescent="0.25">
      <c r="A174" s="64">
        <v>44501</v>
      </c>
      <c r="B174" s="31">
        <f>1315774.1+22048.4</f>
        <v>1337822.5</v>
      </c>
      <c r="C174" s="31">
        <f>838380.8+28+2805.9+40596.5+103581.6</f>
        <v>985392.8</v>
      </c>
      <c r="D174" s="34">
        <f>195739.4+18244+30+5414.2+318</f>
        <v>219745.6</v>
      </c>
      <c r="E174" s="34">
        <f>76156.7+58.4</f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f>0.3+3195.2</f>
        <v>3195.5</v>
      </c>
      <c r="J174" s="25">
        <v>513831.50000000006</v>
      </c>
      <c r="K174" s="31">
        <f>73750.8+7601.6+20594.6+33.5</f>
        <v>101980.5</v>
      </c>
      <c r="L174" s="25">
        <v>44006.400000000001</v>
      </c>
      <c r="M174" s="25">
        <f>1217.3+1.9</f>
        <v>1219.2</v>
      </c>
      <c r="N174" s="25">
        <f>379174.2+511.3+72.9</f>
        <v>379758.4</v>
      </c>
      <c r="O174" s="27">
        <v>491601.4</v>
      </c>
      <c r="P174" s="28">
        <v>195444.99999999997</v>
      </c>
      <c r="Q174" s="33">
        <f>877+98225.6+0+657.1-99311.2-31.4-121.5</f>
        <v>295.60000000001457</v>
      </c>
      <c r="R174" s="34">
        <f>117004.5+105202.7+6297.7-20594.6-22048.4</f>
        <v>185861.90000000002</v>
      </c>
      <c r="S174" s="27">
        <f t="shared" si="3"/>
        <v>4616701.3000000007</v>
      </c>
    </row>
    <row r="175" spans="1:19" s="23" customFormat="1" x14ac:dyDescent="0.25">
      <c r="A175" s="64">
        <v>44532</v>
      </c>
      <c r="B175" s="31">
        <f>1283924.8+27990.2</f>
        <v>1311915</v>
      </c>
      <c r="C175" s="31">
        <f>852330.5+28+1975.4+32377.6+102712.6</f>
        <v>989424.1</v>
      </c>
      <c r="D175" s="34">
        <f>202367.6+17096.3+30.1+4686+1677.4</f>
        <v>225857.4</v>
      </c>
      <c r="E175" s="34">
        <f>62711.8+56.2</f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f>0+3014.6</f>
        <v>3014.6</v>
      </c>
      <c r="J175" s="25">
        <v>512988.39999999997</v>
      </c>
      <c r="K175" s="31">
        <f>66325.8+19507+24965.3+33.5</f>
        <v>110831.6</v>
      </c>
      <c r="L175" s="25">
        <v>33877.5</v>
      </c>
      <c r="M175" s="25">
        <f>4748.4+1.9</f>
        <v>4750.2999999999993</v>
      </c>
      <c r="N175" s="25">
        <f>365723.1+530+73.1</f>
        <v>366326.19999999995</v>
      </c>
      <c r="O175" s="27">
        <v>488669.49999999994</v>
      </c>
      <c r="P175" s="28">
        <v>205894.19999999998</v>
      </c>
      <c r="Q175" s="33">
        <f>1371.7+103004.7+0+3804.3-99945.6-31.4-59-1.4</f>
        <v>8143.299999999992</v>
      </c>
      <c r="R175" s="34">
        <f>123164.8+103326.9+7801.6-24965.3-27990.2</f>
        <v>181337.80000000002</v>
      </c>
      <c r="S175" s="27">
        <f t="shared" si="3"/>
        <v>4598049.5999999996</v>
      </c>
    </row>
    <row r="176" spans="1:19" s="23" customFormat="1" x14ac:dyDescent="0.25">
      <c r="A176" s="64">
        <v>44564</v>
      </c>
      <c r="B176" s="31">
        <f>1454833.5+27406.7</f>
        <v>1482240.2</v>
      </c>
      <c r="C176" s="31">
        <f>844220.3+28+1499.1+28099.7+104488.9</f>
        <v>978336</v>
      </c>
      <c r="D176" s="34">
        <f>206327.8+17853.5+30.1+5240+1653.8</f>
        <v>231105.19999999998</v>
      </c>
      <c r="E176" s="34">
        <f>73519.1+56.2</f>
        <v>73575.3</v>
      </c>
      <c r="F176" s="34">
        <v>89338.599999999991</v>
      </c>
      <c r="G176" s="34">
        <v>1189.3</v>
      </c>
      <c r="H176" s="25">
        <v>2004.9999999999998</v>
      </c>
      <c r="I176" s="25">
        <f>0+3546.2</f>
        <v>3546.2</v>
      </c>
      <c r="J176" s="25">
        <v>486744.7</v>
      </c>
      <c r="K176" s="31">
        <f>67571.6+11477.9+22372.1+233.5</f>
        <v>101655.1</v>
      </c>
      <c r="L176" s="25">
        <v>45225.299999999996</v>
      </c>
      <c r="M176" s="25">
        <f>1261.5+1.9</f>
        <v>1263.4000000000001</v>
      </c>
      <c r="N176" s="25">
        <f>402452.9+510.5+72.4</f>
        <v>403035.80000000005</v>
      </c>
      <c r="O176" s="27">
        <v>490316</v>
      </c>
      <c r="P176" s="28">
        <v>219506.8</v>
      </c>
      <c r="Q176" s="33">
        <f>1051+98302.1+0+1107.7-73479.4-31.4-69.6-1.5</f>
        <v>26878.900000000009</v>
      </c>
      <c r="R176" s="34">
        <f>127871+112562.3+7940.1-22372.1-27406.7</f>
        <v>198594.59999999998</v>
      </c>
      <c r="S176" s="27">
        <f t="shared" si="3"/>
        <v>4834556.4000000004</v>
      </c>
    </row>
    <row r="177" spans="1:19" s="23" customFormat="1" x14ac:dyDescent="0.25">
      <c r="A177" s="64">
        <v>44596</v>
      </c>
      <c r="B177" s="31">
        <v>1431480.7999999998</v>
      </c>
      <c r="C177" s="31">
        <f>883714.8+28+1423.7+28906.1+108564.1</f>
        <v>1022636.7</v>
      </c>
      <c r="D177" s="34">
        <f>243545.5+17540.2+2748.5+2775+1655.9</f>
        <v>268265.10000000003</v>
      </c>
      <c r="E177" s="34">
        <f>89512.7+56.2</f>
        <v>89568.9</v>
      </c>
      <c r="F177" s="34">
        <v>78533.2</v>
      </c>
      <c r="G177" s="34">
        <v>1056.6999999999998</v>
      </c>
      <c r="H177" s="25">
        <v>1580.9</v>
      </c>
      <c r="I177" s="25">
        <f>0+3488</f>
        <v>3488</v>
      </c>
      <c r="J177" s="25">
        <v>425633.39999999997</v>
      </c>
      <c r="K177" s="31">
        <f>67962.3+15500.2+22692.7+233.5</f>
        <v>106388.7</v>
      </c>
      <c r="L177" s="25">
        <v>52943.099999999991</v>
      </c>
      <c r="M177" s="25">
        <f>1253.9+1.9</f>
        <v>1255.8000000000002</v>
      </c>
      <c r="N177" s="25">
        <f>371405.2+141.1+72.5</f>
        <v>371618.8</v>
      </c>
      <c r="O177" s="27">
        <v>502440.7</v>
      </c>
      <c r="P177" s="28">
        <v>230790.6</v>
      </c>
      <c r="Q177" s="33">
        <f>508+158807.2+0+1059.5-178063.5-21.4-37.1-3.7</f>
        <v>-17750.999999999989</v>
      </c>
      <c r="R177" s="34">
        <f>134233.4+121184.2+14482.8-22692.7-26210.4</f>
        <v>220997.29999999996</v>
      </c>
      <c r="S177" s="27">
        <f t="shared" ref="S177" si="4">SUM(B177:R177)</f>
        <v>4790927.6999999993</v>
      </c>
    </row>
    <row r="178" spans="1:19" s="23" customFormat="1" x14ac:dyDescent="0.25">
      <c r="A178" s="64">
        <v>44628</v>
      </c>
      <c r="B178" s="31">
        <f>1413728.2+24570.8</f>
        <v>1438299</v>
      </c>
      <c r="C178" s="31">
        <f>894074.7+28+1423.7+29267.2+108775.4</f>
        <v>1033568.9999999999</v>
      </c>
      <c r="D178" s="34">
        <f>243809.7+18069+2760.7+2504.1+1736.5</f>
        <v>268880</v>
      </c>
      <c r="E178" s="34">
        <f>73860.6+56.2</f>
        <v>73916.800000000003</v>
      </c>
      <c r="F178" s="34">
        <v>73966.2</v>
      </c>
      <c r="G178" s="34">
        <v>1028.0999999999999</v>
      </c>
      <c r="H178" s="25">
        <v>1517.5</v>
      </c>
      <c r="I178" s="25">
        <f>0+3242.1</f>
        <v>3242.1</v>
      </c>
      <c r="J178" s="25">
        <v>459748.30000000005</v>
      </c>
      <c r="K178" s="31">
        <f>66466.4+40315+18736.4+233.5</f>
        <v>125751.29999999999</v>
      </c>
      <c r="L178" s="25">
        <v>58094.9</v>
      </c>
      <c r="M178" s="25">
        <f>1429.6+2</f>
        <v>1431.6</v>
      </c>
      <c r="N178" s="25">
        <f>342688.5+108.6+72.7</f>
        <v>342869.8</v>
      </c>
      <c r="O178" s="27">
        <v>604713.5</v>
      </c>
      <c r="P178" s="28">
        <v>109779.3</v>
      </c>
      <c r="Q178" s="33">
        <f>2221.3+126608+971.6-131423.5-31.4-48.2-3.7</f>
        <v>-1705.8999999999915</v>
      </c>
      <c r="R178" s="34">
        <f>151159.5+107678.2+2948.4-18736.4-24570.8</f>
        <v>218478.90000000002</v>
      </c>
      <c r="S178" s="27">
        <f t="shared" ref="S178" si="5">SUM(B178:R178)</f>
        <v>4813580.3999999994</v>
      </c>
    </row>
    <row r="179" spans="1:19" s="23" customFormat="1" x14ac:dyDescent="0.25">
      <c r="A179" s="64">
        <v>44660</v>
      </c>
      <c r="B179" s="31">
        <f>1516330.6+27708.5</f>
        <v>1544039.1</v>
      </c>
      <c r="C179" s="31">
        <f>912347.3+28+1522.5+37382.9+109968.3</f>
        <v>1061249</v>
      </c>
      <c r="D179" s="34">
        <f>221075.7+19006.6+2773.3+3173+761.3</f>
        <v>246789.9</v>
      </c>
      <c r="E179" s="34">
        <f>51228.9+56.2</f>
        <v>51285.1</v>
      </c>
      <c r="F179" s="34">
        <v>79008.900000000009</v>
      </c>
      <c r="G179" s="34">
        <v>1088.2</v>
      </c>
      <c r="H179" s="25">
        <v>1964.4000000000003</v>
      </c>
      <c r="I179" s="25">
        <f>0+3710.5</f>
        <v>3710.5</v>
      </c>
      <c r="J179" s="25">
        <v>484918.19999999995</v>
      </c>
      <c r="K179" s="31">
        <f>64757.6+13573.5+17041.7+233.5</f>
        <v>95606.3</v>
      </c>
      <c r="L179" s="25">
        <v>53033.2</v>
      </c>
      <c r="M179" s="25">
        <f>1263.6+1.9</f>
        <v>1265.5</v>
      </c>
      <c r="N179" s="25">
        <f>371424.7+98.2+69.2</f>
        <v>371592.10000000003</v>
      </c>
      <c r="O179" s="27">
        <v>606693.39999999991</v>
      </c>
      <c r="P179" s="28">
        <v>121490.5</v>
      </c>
      <c r="Q179" s="33">
        <f>277.1+144897.5+1354.9-124934.4-31.4-0-3.7</f>
        <v>21560.000000000004</v>
      </c>
      <c r="R179" s="34">
        <f>124686.7+106931.8+3649-17041.7-27708.5</f>
        <v>190517.3</v>
      </c>
      <c r="S179" s="27">
        <f t="shared" ref="S179" si="6">SUM(B179:R179)</f>
        <v>4935811.5999999996</v>
      </c>
    </row>
    <row r="180" spans="1:19" s="23" customFormat="1" x14ac:dyDescent="0.25">
      <c r="A180" s="64">
        <v>44691</v>
      </c>
      <c r="B180" s="31">
        <v>1597743.2</v>
      </c>
      <c r="C180" s="31">
        <v>1072156.8</v>
      </c>
      <c r="D180" s="34">
        <v>273549</v>
      </c>
      <c r="E180" s="34">
        <v>69002.100000000006</v>
      </c>
      <c r="F180" s="34">
        <v>69357.800000000017</v>
      </c>
      <c r="G180" s="34">
        <v>969.9</v>
      </c>
      <c r="H180" s="25">
        <v>1103.8000000000002</v>
      </c>
      <c r="I180" s="25">
        <v>3701.1</v>
      </c>
      <c r="J180" s="25">
        <v>478478.6</v>
      </c>
      <c r="K180" s="31">
        <v>121877.79999999999</v>
      </c>
      <c r="L180" s="25">
        <v>26988.2</v>
      </c>
      <c r="M180" s="25">
        <v>1232.0999999999999</v>
      </c>
      <c r="N180" s="25">
        <v>393846.29999999993</v>
      </c>
      <c r="O180" s="27">
        <v>606185.29999999993</v>
      </c>
      <c r="P180" s="28">
        <v>134881.60000000001</v>
      </c>
      <c r="Q180" s="33">
        <v>41349.799999999996</v>
      </c>
      <c r="R180" s="34">
        <v>194340.6</v>
      </c>
      <c r="S180" s="27">
        <v>5086763.9999999991</v>
      </c>
    </row>
    <row r="181" spans="1:19" s="23" customFormat="1" x14ac:dyDescent="0.25">
      <c r="A181" s="64">
        <v>44722</v>
      </c>
      <c r="B181" s="31">
        <f>1614289.7+32805.9</f>
        <v>1647095.5999999999</v>
      </c>
      <c r="C181" s="31">
        <f>920249.6+28+1390.2+85288.5+113453.7</f>
        <v>1120410</v>
      </c>
      <c r="D181" s="34">
        <f>209154+17715.2+2760.8+3801.8+584.8</f>
        <v>234016.59999999998</v>
      </c>
      <c r="E181" s="34">
        <f>47318.6+58.2</f>
        <v>47376.799999999996</v>
      </c>
      <c r="F181" s="34">
        <v>76096.000000000015</v>
      </c>
      <c r="G181" s="34">
        <v>877.2</v>
      </c>
      <c r="H181" s="25">
        <v>1202</v>
      </c>
      <c r="I181" s="25">
        <f>0+3739.3</f>
        <v>3739.3</v>
      </c>
      <c r="J181" s="25">
        <v>550425.79999999993</v>
      </c>
      <c r="K181" s="31">
        <f>71881.4+31282.3+19475.1+233.5</f>
        <v>122872.29999999999</v>
      </c>
      <c r="L181" s="25">
        <v>50033.899999999994</v>
      </c>
      <c r="M181" s="25">
        <f>1152+2</f>
        <v>1154</v>
      </c>
      <c r="N181" s="25">
        <f>448686.4+102.8+68.9</f>
        <v>448858.10000000003</v>
      </c>
      <c r="O181" s="27">
        <v>606068.39999999991</v>
      </c>
      <c r="P181" s="28">
        <v>150147.5</v>
      </c>
      <c r="Q181" s="33">
        <f>10237.9+136402+1269.3-131730.3-31.4-42-3.7</f>
        <v>16101.799999999994</v>
      </c>
      <c r="R181" s="34">
        <f>119874.5+108890.3+14837.4-19475.1-32805.9</f>
        <v>191321.19999999998</v>
      </c>
      <c r="S181" s="27">
        <f t="shared" ref="S181" si="7">SUM(B181:R181)</f>
        <v>5267796.4999999981</v>
      </c>
    </row>
    <row r="182" spans="1:19" s="23" customFormat="1" x14ac:dyDescent="0.25">
      <c r="A182" s="64">
        <v>44752</v>
      </c>
      <c r="B182" s="31">
        <f>1936974.2+31231</f>
        <v>1968205.2</v>
      </c>
      <c r="C182" s="31">
        <f>898105+28+1446.5+79276+115174.6</f>
        <v>1094030.1000000001</v>
      </c>
      <c r="D182" s="34">
        <f>232420.1+18268.5+2746.2+3328.3+1325.4</f>
        <v>258088.5</v>
      </c>
      <c r="E182" s="34">
        <f>47146+58.2</f>
        <v>47204.2</v>
      </c>
      <c r="F182" s="34">
        <v>75051.999999999985</v>
      </c>
      <c r="G182" s="34">
        <v>887.9</v>
      </c>
      <c r="H182" s="25">
        <v>1683.4</v>
      </c>
      <c r="I182" s="25">
        <f>0+3889.3</f>
        <v>3889.3</v>
      </c>
      <c r="J182" s="25">
        <v>562703.19999999995</v>
      </c>
      <c r="K182" s="31">
        <f>67783.9+8704+20472.2+233.5</f>
        <v>97193.599999999991</v>
      </c>
      <c r="L182" s="25">
        <v>52346.400000000001</v>
      </c>
      <c r="M182" s="25">
        <f>1137.1+2</f>
        <v>1139.0999999999999</v>
      </c>
      <c r="N182" s="25">
        <f>453088.1+90.7+67.6</f>
        <v>453246.39999999997</v>
      </c>
      <c r="O182" s="27">
        <v>605999.19999999995</v>
      </c>
      <c r="P182" s="28">
        <v>164550.20000000001</v>
      </c>
      <c r="Q182" s="33">
        <f>40555.1+161758.2+1585.6-160453.2-31.4-44.5-3.7</f>
        <v>43366.100000000013</v>
      </c>
      <c r="R182" s="34">
        <f>124956.9+110571.7+14093.3-20472.2-31231</f>
        <v>197918.69999999995</v>
      </c>
      <c r="S182" s="27">
        <f t="shared" ref="S182" si="8">SUM(B182:R182)</f>
        <v>5627503.5</v>
      </c>
    </row>
    <row r="183" spans="1:19" s="23" customFormat="1" x14ac:dyDescent="0.25">
      <c r="A183" s="64">
        <v>44783</v>
      </c>
      <c r="B183" s="31">
        <f>1887023.8+30342.9</f>
        <v>1917366.7</v>
      </c>
      <c r="C183" s="31">
        <f>921947.2+28+1864.1+80933.1+116569.8</f>
        <v>1121342.2</v>
      </c>
      <c r="D183" s="34">
        <f>222155.7+18050.6+2752.8+3939.6+1368.5</f>
        <v>248267.2</v>
      </c>
      <c r="E183" s="34">
        <f>58696.2+58.2</f>
        <v>58754.399999999994</v>
      </c>
      <c r="F183" s="34">
        <v>61967.3</v>
      </c>
      <c r="G183" s="34">
        <v>898.30000000000007</v>
      </c>
      <c r="H183" s="25">
        <v>1497.7</v>
      </c>
      <c r="I183" s="25">
        <f>0+3895.8</f>
        <v>3895.8</v>
      </c>
      <c r="J183" s="25">
        <v>577445.5</v>
      </c>
      <c r="K183" s="31">
        <f>56431.5+6426.8+24377+233.5</f>
        <v>87468.800000000003</v>
      </c>
      <c r="L183" s="25">
        <v>51634.1</v>
      </c>
      <c r="M183" s="25">
        <f>1152+2</f>
        <v>1154</v>
      </c>
      <c r="N183" s="25">
        <f>521040.8+91.8+66.6</f>
        <v>521199.19999999995</v>
      </c>
      <c r="O183" s="27">
        <v>606136</v>
      </c>
      <c r="P183" s="28">
        <v>175241.90000000002</v>
      </c>
      <c r="Q183" s="33">
        <f>8053.5+179687.4+1513.1-145188.4-31.4-43.6-3.7</f>
        <v>43986.900000000009</v>
      </c>
      <c r="R183" s="34">
        <f>123626.7+110978.5+3941.5-24377-30342.9</f>
        <v>183826.80000000002</v>
      </c>
      <c r="S183" s="27">
        <f t="shared" ref="S183" si="9">SUM(B183:R183)</f>
        <v>5662082.7999999998</v>
      </c>
    </row>
    <row r="184" spans="1:19" s="23" customFormat="1" x14ac:dyDescent="0.25">
      <c r="A184" s="64">
        <v>44814</v>
      </c>
      <c r="B184" s="31">
        <f>1869290.1+26948.2</f>
        <v>1896238.3</v>
      </c>
      <c r="C184" s="31">
        <f>1002941.8+28+1517.2+19746.8+118211.4</f>
        <v>1142445.2</v>
      </c>
      <c r="D184" s="34">
        <f>213099+27714.5+1069.3+2959.1+1625.2</f>
        <v>246467.1</v>
      </c>
      <c r="E184" s="34">
        <f>52405+58.2</f>
        <v>52463.199999999997</v>
      </c>
      <c r="F184" s="34">
        <v>57406.5</v>
      </c>
      <c r="G184" s="34">
        <v>908.90000000000009</v>
      </c>
      <c r="H184" s="25">
        <v>2431.8999999999996</v>
      </c>
      <c r="I184" s="25">
        <f>0+3906.7</f>
        <v>3906.7</v>
      </c>
      <c r="J184" s="25">
        <v>599198.80000000005</v>
      </c>
      <c r="K184" s="31">
        <f>61182.5+23578+25471.4+233.5</f>
        <v>110465.4</v>
      </c>
      <c r="L184" s="25">
        <v>46126</v>
      </c>
      <c r="M184" s="25">
        <f>2930.9+2</f>
        <v>2932.9</v>
      </c>
      <c r="N184" s="25">
        <f>584321.9+106.7+65.6</f>
        <v>584494.19999999995</v>
      </c>
      <c r="O184" s="27">
        <v>606256.80000000005</v>
      </c>
      <c r="P184" s="28">
        <v>189884.10000000003</v>
      </c>
      <c r="Q184" s="33">
        <f>8160.7+166219.4+1813.2-131577.7-31.4-39.3-3.7</f>
        <v>44541.200000000004</v>
      </c>
      <c r="R184" s="34">
        <f>123740+112715.9+12976.3-25471.4-26948.2</f>
        <v>197012.59999999998</v>
      </c>
      <c r="S184" s="27">
        <f t="shared" ref="S184" si="10">SUM(B184:R184)</f>
        <v>5783179.7999999998</v>
      </c>
    </row>
    <row r="185" spans="1:19" s="23" customFormat="1" x14ac:dyDescent="0.25">
      <c r="A185" s="64">
        <v>44845</v>
      </c>
      <c r="B185" s="31">
        <v>1940484.7999999998</v>
      </c>
      <c r="C185" s="31">
        <v>1150672.8999999999</v>
      </c>
      <c r="D185" s="34">
        <v>251197.5</v>
      </c>
      <c r="E185" s="34">
        <v>102772.09999999999</v>
      </c>
      <c r="F185" s="34">
        <v>65192.800000000003</v>
      </c>
      <c r="G185" s="34">
        <v>936</v>
      </c>
      <c r="H185" s="25">
        <v>2127.3000000000002</v>
      </c>
      <c r="I185" s="25">
        <v>3417.9</v>
      </c>
      <c r="J185" s="25">
        <v>604248.69999999995</v>
      </c>
      <c r="K185" s="31">
        <v>125382.50000000001</v>
      </c>
      <c r="L185" s="25">
        <v>56331.7</v>
      </c>
      <c r="M185" s="25">
        <v>1149.8</v>
      </c>
      <c r="N185" s="25">
        <v>500557.50000000006</v>
      </c>
      <c r="O185" s="27">
        <v>603729.70000000007</v>
      </c>
      <c r="P185" s="28">
        <v>199298</v>
      </c>
      <c r="Q185" s="33">
        <v>44851.799999999974</v>
      </c>
      <c r="R185" s="34">
        <v>206567.49999999994</v>
      </c>
      <c r="S185" s="27">
        <v>5858918.4999999991</v>
      </c>
    </row>
    <row r="186" spans="1:19" s="23" customFormat="1" x14ac:dyDescent="0.25">
      <c r="A186" s="64" t="s">
        <v>3</v>
      </c>
      <c r="B186" s="31"/>
      <c r="C186" s="31"/>
      <c r="D186" s="34"/>
      <c r="E186" s="34"/>
      <c r="F186" s="34"/>
      <c r="G186" s="34"/>
      <c r="H186" s="25"/>
      <c r="I186" s="25"/>
      <c r="J186" s="25"/>
      <c r="K186" s="31"/>
      <c r="L186" s="25"/>
      <c r="M186" s="25"/>
      <c r="N186" s="25"/>
      <c r="O186" s="27"/>
      <c r="P186" s="28"/>
      <c r="Q186" s="33"/>
      <c r="R186" s="34"/>
      <c r="S186" s="27"/>
    </row>
    <row r="187" spans="1:19" s="23" customFormat="1" x14ac:dyDescent="0.25">
      <c r="O187" s="35"/>
      <c r="P187" s="35"/>
      <c r="Q187" s="36"/>
      <c r="R187" s="35"/>
      <c r="S187" s="35"/>
    </row>
    <row r="189" spans="1:19" x14ac:dyDescent="0.25">
      <c r="B189" s="10"/>
      <c r="C189" s="10"/>
      <c r="D189" s="10"/>
    </row>
    <row r="190" spans="1:19" x14ac:dyDescent="0.25">
      <c r="B190" s="10"/>
      <c r="C190" s="10"/>
      <c r="D190" s="10"/>
    </row>
    <row r="191" spans="1:19" x14ac:dyDescent="0.25">
      <c r="B191" s="10"/>
      <c r="C191" s="10"/>
      <c r="D191" s="10"/>
    </row>
    <row r="192" spans="1:19" x14ac:dyDescent="0.25">
      <c r="B192" s="10"/>
      <c r="C192" s="10"/>
      <c r="D192" s="10"/>
    </row>
    <row r="193" spans="2:4" x14ac:dyDescent="0.25">
      <c r="B193" s="10"/>
      <c r="C193" s="10"/>
      <c r="D193" s="10"/>
    </row>
    <row r="194" spans="2:4" x14ac:dyDescent="0.25">
      <c r="B194" s="10"/>
      <c r="C194" s="10"/>
      <c r="D194" s="10"/>
    </row>
    <row r="195" spans="2:4" x14ac:dyDescent="0.25">
      <c r="B195" s="10"/>
      <c r="C195" s="10"/>
      <c r="D195" s="10"/>
    </row>
    <row r="196" spans="2:4" x14ac:dyDescent="0.25">
      <c r="B196" s="10"/>
      <c r="C196" s="10"/>
      <c r="D196" s="10"/>
    </row>
    <row r="197" spans="2:4" x14ac:dyDescent="0.25">
      <c r="B197" s="10"/>
      <c r="C197" s="10"/>
      <c r="D197" s="10"/>
    </row>
    <row r="198" spans="2:4" x14ac:dyDescent="0.25">
      <c r="B198" s="10"/>
      <c r="C198" s="10"/>
      <c r="D198" s="10"/>
    </row>
    <row r="199" spans="2:4" x14ac:dyDescent="0.25">
      <c r="B199" s="10"/>
      <c r="C199" s="10"/>
      <c r="D199" s="10"/>
    </row>
    <row r="200" spans="2:4" x14ac:dyDescent="0.25">
      <c r="B200" s="10"/>
      <c r="C200" s="10"/>
      <c r="D200" s="10"/>
    </row>
    <row r="201" spans="2:4" x14ac:dyDescent="0.25">
      <c r="B201" s="10"/>
      <c r="C201" s="10"/>
      <c r="D201" s="10"/>
    </row>
    <row r="202" spans="2:4" x14ac:dyDescent="0.25">
      <c r="B202" s="10"/>
      <c r="C202" s="10"/>
      <c r="D202" s="10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8"/>
  <sheetViews>
    <sheetView workbookViewId="0">
      <pane xSplit="1" ySplit="7" topLeftCell="O56" activePane="bottomRight" state="frozen"/>
      <selection pane="topRight" activeCell="B1" sqref="B1"/>
      <selection pane="bottomLeft" activeCell="A8" sqref="A8"/>
      <selection pane="bottomRight" activeCell="Q64" sqref="Q64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64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64">
        <v>44286</v>
      </c>
      <c r="B60" s="31">
        <f>1179405.1+22815.2</f>
        <v>1202220.3</v>
      </c>
      <c r="C60" s="31">
        <f>649243.4+3077.3+2269.7+24359.6+5525.5</f>
        <v>684475.5</v>
      </c>
      <c r="D60" s="34">
        <f>169012.1+16489.4+29.4+2310.8+367.2</f>
        <v>188208.9</v>
      </c>
      <c r="E60" s="34">
        <f>72990.8+58.4</f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f>61106.5+15244.8+22791.8+34</f>
        <v>99177.1</v>
      </c>
      <c r="L60" s="25">
        <v>28206.799999999996</v>
      </c>
      <c r="M60" s="25">
        <f>1065.5+21080.2</f>
        <v>22145.7</v>
      </c>
      <c r="N60" s="25">
        <f>318141.6+563.7+73.8</f>
        <v>318779.09999999998</v>
      </c>
      <c r="O60" s="27">
        <v>449838.1</v>
      </c>
      <c r="P60" s="28">
        <v>90021.900000000009</v>
      </c>
      <c r="Q60" s="33">
        <f>19.3+18932.8+1378.7+0+96.3-16822.7-31.4-0</f>
        <v>3572.9999999999977</v>
      </c>
      <c r="R60" s="34">
        <f>93769.6+77293.7+3533.4-15244.8-22815.2</f>
        <v>136536.69999999998</v>
      </c>
      <c r="S60" s="27">
        <f t="shared" ref="S60:S61" si="11">SUM(B60:R60)</f>
        <v>3642870.4000000004</v>
      </c>
    </row>
    <row r="61" spans="1:19" s="23" customFormat="1" x14ac:dyDescent="0.25">
      <c r="A61" s="64">
        <v>44377</v>
      </c>
      <c r="B61" s="31">
        <f>1258468.3+28354.5</f>
        <v>1286822.8</v>
      </c>
      <c r="C61" s="31">
        <f>687257.1+28+2086.8+25075.7+7166.6</f>
        <v>721614.2</v>
      </c>
      <c r="D61" s="34">
        <f>169065.8+17375.6+29.6+2822.7+205.1</f>
        <v>189498.80000000002</v>
      </c>
      <c r="E61" s="34">
        <f>83237.9+58.4</f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f>66687.1+14707.3+25634.2+34</f>
        <v>107062.6</v>
      </c>
      <c r="L61" s="25">
        <v>43190.3</v>
      </c>
      <c r="M61" s="25">
        <f>3703.1+112.2</f>
        <v>3815.2999999999997</v>
      </c>
      <c r="N61" s="25">
        <f>364992.7+571.2+75.6</f>
        <v>365639.5</v>
      </c>
      <c r="O61" s="27">
        <v>458055</v>
      </c>
      <c r="P61" s="28">
        <v>118526.59999999999</v>
      </c>
      <c r="Q61" s="33">
        <f>1771.8+64838.6+1311.3+0+95.6-61653.4-31.4-0</f>
        <v>6332.5000000000018</v>
      </c>
      <c r="R61" s="34">
        <f>102078.3+77680.4+8612.7-14707.3-28354.5</f>
        <v>145309.60000000003</v>
      </c>
      <c r="S61" s="27">
        <f t="shared" si="11"/>
        <v>3932980.399999999</v>
      </c>
    </row>
    <row r="62" spans="1:19" s="23" customFormat="1" x14ac:dyDescent="0.25">
      <c r="A62" s="64">
        <v>44469</v>
      </c>
      <c r="B62" s="31">
        <f>1331006.3+25434.6</f>
        <v>1356440.9000000001</v>
      </c>
      <c r="C62" s="31">
        <f>826341.7+28+1593.7+23899.6+97070.7</f>
        <v>948933.69999999984</v>
      </c>
      <c r="D62" s="34">
        <f>179380.7+17277.2+29.9+2761.8+266.7</f>
        <v>199716.30000000002</v>
      </c>
      <c r="E62" s="34">
        <f>66723.3+58.4</f>
        <v>66781.7</v>
      </c>
      <c r="F62" s="34">
        <v>82765.8</v>
      </c>
      <c r="G62" s="34">
        <v>967.6</v>
      </c>
      <c r="H62" s="25">
        <v>1248.8999999999999</v>
      </c>
      <c r="I62" s="25">
        <v>3180.1</v>
      </c>
      <c r="J62" s="25">
        <v>405892.60000000003</v>
      </c>
      <c r="K62" s="31">
        <f>17323.6+65573.6+19990+33.5</f>
        <v>102920.70000000001</v>
      </c>
      <c r="L62" s="25">
        <v>42789.2</v>
      </c>
      <c r="M62" s="25">
        <f>5181.3+1.9</f>
        <v>5183.2</v>
      </c>
      <c r="N62" s="25">
        <f>428600.9+564.5+74.3</f>
        <v>429239.7</v>
      </c>
      <c r="O62" s="27">
        <v>490103.5</v>
      </c>
      <c r="P62" s="28">
        <v>169591.2</v>
      </c>
      <c r="Q62" s="33">
        <f>2239.2+112349.7+95.6+593.1-113852.6-31.4-0</f>
        <v>1393.6</v>
      </c>
      <c r="R62" s="34">
        <f>111925.3+102326.1+6177.4-19990-25434.6</f>
        <v>175004.2</v>
      </c>
      <c r="S62" s="27">
        <f t="shared" ref="S62" si="12">SUM(B62:R62)</f>
        <v>4482152.9000000004</v>
      </c>
    </row>
    <row r="63" spans="1:19" s="23" customFormat="1" x14ac:dyDescent="0.25">
      <c r="A63" s="64">
        <v>44561</v>
      </c>
      <c r="B63" s="31">
        <f>1283924.8+27990.2</f>
        <v>1311915</v>
      </c>
      <c r="C63" s="31">
        <f>852330.5+28+1975.4+32377.6+102712.6</f>
        <v>989424.1</v>
      </c>
      <c r="D63" s="34">
        <f>202367.6+17096.3+30.1+4686+1677.4</f>
        <v>225857.4</v>
      </c>
      <c r="E63" s="34">
        <f>62711.8+56.2</f>
        <v>62768</v>
      </c>
      <c r="F63" s="34">
        <v>88575.900000000009</v>
      </c>
      <c r="G63" s="34">
        <v>1237.9999999999998</v>
      </c>
      <c r="H63" s="25">
        <v>2437.7999999999997</v>
      </c>
      <c r="I63" s="25">
        <f>0+3014.6</f>
        <v>3014.6</v>
      </c>
      <c r="J63" s="25">
        <v>512988.39999999997</v>
      </c>
      <c r="K63" s="31">
        <f>66325.8+19507+24965.3+33.5</f>
        <v>110831.6</v>
      </c>
      <c r="L63" s="25">
        <v>33877.5</v>
      </c>
      <c r="M63" s="25">
        <f>4748.4+1.9</f>
        <v>4750.2999999999993</v>
      </c>
      <c r="N63" s="25">
        <f>365723.1+530+73.1</f>
        <v>366326.19999999995</v>
      </c>
      <c r="O63" s="27">
        <v>488669.49999999994</v>
      </c>
      <c r="P63" s="28">
        <v>205894.19999999998</v>
      </c>
      <c r="Q63" s="33">
        <f>1371.7+103004.7+0+3804.3-99945.6-31.4-59-1.4</f>
        <v>8143.299999999992</v>
      </c>
      <c r="R63" s="34">
        <f>123164.8+103326.9+7801.6-24965.3-27990.2</f>
        <v>181337.80000000002</v>
      </c>
      <c r="S63" s="27">
        <f t="shared" ref="S63" si="13">SUM(B63:R63)</f>
        <v>4598049.5999999996</v>
      </c>
    </row>
    <row r="64" spans="1:19" s="23" customFormat="1" x14ac:dyDescent="0.25">
      <c r="A64" s="64">
        <v>44651</v>
      </c>
      <c r="B64" s="31">
        <f>1413728.2+24570.8</f>
        <v>1438299</v>
      </c>
      <c r="C64" s="31">
        <f>894074.7+28+1423.7+29267.2+108775.4</f>
        <v>1033568.9999999999</v>
      </c>
      <c r="D64" s="34">
        <f>243809.7+18069+2760.7+2504.1+1736.5</f>
        <v>268880</v>
      </c>
      <c r="E64" s="34">
        <f>73860.6+56.2</f>
        <v>73916.800000000003</v>
      </c>
      <c r="F64" s="34">
        <v>73966.2</v>
      </c>
      <c r="G64" s="34">
        <v>1028.0999999999999</v>
      </c>
      <c r="H64" s="25">
        <v>1517.5</v>
      </c>
      <c r="I64" s="25">
        <f>0+3242.1</f>
        <v>3242.1</v>
      </c>
      <c r="J64" s="25">
        <v>459748.30000000005</v>
      </c>
      <c r="K64" s="31">
        <f>66466.4+40315+18736.4+233.5</f>
        <v>125751.29999999999</v>
      </c>
      <c r="L64" s="25">
        <v>58094.9</v>
      </c>
      <c r="M64" s="25">
        <f>1429.6+2</f>
        <v>1431.6</v>
      </c>
      <c r="N64" s="25">
        <f>342688.5+108.6+72.7</f>
        <v>342869.8</v>
      </c>
      <c r="O64" s="27">
        <v>604713.5</v>
      </c>
      <c r="P64" s="28">
        <v>109779.3</v>
      </c>
      <c r="Q64" s="33">
        <f>2221.3+126608+971.6-131423.5-31.4-48.2-3.7</f>
        <v>-1705.8999999999915</v>
      </c>
      <c r="R64" s="34">
        <f>151159.5+107678.2+2948.4-18736.4-24570.8</f>
        <v>218478.90000000002</v>
      </c>
      <c r="S64" s="27">
        <f t="shared" ref="S64" si="14">SUM(B64:R64)</f>
        <v>4813580.3999999994</v>
      </c>
    </row>
    <row r="65" spans="1:19" s="23" customFormat="1" x14ac:dyDescent="0.25">
      <c r="A65" s="64">
        <v>44742</v>
      </c>
      <c r="B65" s="31">
        <f>1614289.7+32805.9</f>
        <v>1647095.5999999999</v>
      </c>
      <c r="C65" s="31">
        <f>920249.6+28+1390.2+85288.5+113453.7</f>
        <v>1120410</v>
      </c>
      <c r="D65" s="34">
        <f>209154+17715.2+2760.8+3801.8+584.8</f>
        <v>234016.59999999998</v>
      </c>
      <c r="E65" s="34">
        <f>47318.6+58.2</f>
        <v>47376.799999999996</v>
      </c>
      <c r="F65" s="34">
        <v>76096.000000000015</v>
      </c>
      <c r="G65" s="34">
        <v>877.2</v>
      </c>
      <c r="H65" s="25">
        <v>1202</v>
      </c>
      <c r="I65" s="25">
        <f>0+3739.3</f>
        <v>3739.3</v>
      </c>
      <c r="J65" s="25">
        <v>550425.79999999993</v>
      </c>
      <c r="K65" s="31">
        <f>71881.4+31282.3+19475.1+233.5</f>
        <v>122872.29999999999</v>
      </c>
      <c r="L65" s="25">
        <v>50033.899999999994</v>
      </c>
      <c r="M65" s="25">
        <f>1152+2</f>
        <v>1154</v>
      </c>
      <c r="N65" s="25">
        <f>448686.4+102.8+68.9</f>
        <v>448858.10000000003</v>
      </c>
      <c r="O65" s="27">
        <v>606068.39999999991</v>
      </c>
      <c r="P65" s="28">
        <v>150147.5</v>
      </c>
      <c r="Q65" s="33">
        <f>10237.9+136402+1269.3-131730.3-31.4-42-3.7</f>
        <v>16101.799999999994</v>
      </c>
      <c r="R65" s="34">
        <f>119874.5+108890.3+14837.4-19475.1-32805.9</f>
        <v>191321.19999999998</v>
      </c>
      <c r="S65" s="27">
        <f t="shared" ref="S65" si="15">SUM(B65:R65)</f>
        <v>5267796.4999999981</v>
      </c>
    </row>
    <row r="66" spans="1:19" s="23" customFormat="1" x14ac:dyDescent="0.25">
      <c r="A66" s="64">
        <v>44814</v>
      </c>
      <c r="B66" s="31">
        <f>1869290.1+26948.2</f>
        <v>1896238.3</v>
      </c>
      <c r="C66" s="31">
        <f>1002941.8+28+1517.2+19746.8+118211.4</f>
        <v>1142445.2</v>
      </c>
      <c r="D66" s="34">
        <f>213099+27714.5+1069.3+2959.1+1625.2</f>
        <v>246467.1</v>
      </c>
      <c r="E66" s="34">
        <f>52405+58.2</f>
        <v>52463.199999999997</v>
      </c>
      <c r="F66" s="34">
        <v>57406.5</v>
      </c>
      <c r="G66" s="34">
        <v>908.90000000000009</v>
      </c>
      <c r="H66" s="25">
        <v>2431.8999999999996</v>
      </c>
      <c r="I66" s="25">
        <f>0+3906.7</f>
        <v>3906.7</v>
      </c>
      <c r="J66" s="25">
        <v>599198.80000000005</v>
      </c>
      <c r="K66" s="31">
        <f>61182.5+23578+25471.4+233.5</f>
        <v>110465.4</v>
      </c>
      <c r="L66" s="25">
        <v>46126</v>
      </c>
      <c r="M66" s="25">
        <f>2930.9+2</f>
        <v>2932.9</v>
      </c>
      <c r="N66" s="25">
        <f>584321.9+106.7+65.6</f>
        <v>584494.19999999995</v>
      </c>
      <c r="O66" s="27">
        <v>606256.80000000005</v>
      </c>
      <c r="P66" s="28">
        <v>189884.10000000003</v>
      </c>
      <c r="Q66" s="33">
        <f>8160.7+166219.4+1813.2-131577.7-31.4-39.3-3.7</f>
        <v>44541.200000000004</v>
      </c>
      <c r="R66" s="34">
        <f>123740+112715.9+12976.3-25471.4-26948.2</f>
        <v>197012.59999999998</v>
      </c>
      <c r="S66" s="27">
        <f t="shared" ref="S66" si="16">SUM(B66:R66)</f>
        <v>5783179.7999999998</v>
      </c>
    </row>
    <row r="67" spans="1:19" s="55" customFormat="1" ht="18.75" x14ac:dyDescent="0.3">
      <c r="A67" s="51" t="s">
        <v>3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</row>
    <row r="68" spans="1:19" s="23" customFormat="1" x14ac:dyDescent="0.25">
      <c r="O68" s="35"/>
      <c r="P68" s="35"/>
      <c r="Q68" s="36"/>
      <c r="R68" s="35"/>
      <c r="S68" s="35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2" sqref="A22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9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9">
        <v>2021</v>
      </c>
      <c r="B21" s="31">
        <f>1283924.8+27990.2</f>
        <v>1311915</v>
      </c>
      <c r="C21" s="31">
        <f>852330.5+28+1975.4+32377.6+102712.6</f>
        <v>989424.1</v>
      </c>
      <c r="D21" s="34">
        <f>202367.6+17096.3+30.1+4686+1677.4</f>
        <v>225857.4</v>
      </c>
      <c r="E21" s="34">
        <f>62711.8+56.2</f>
        <v>62768</v>
      </c>
      <c r="F21" s="34">
        <v>88575.900000000009</v>
      </c>
      <c r="G21" s="34">
        <v>1237.9999999999998</v>
      </c>
      <c r="H21" s="25">
        <v>2437.7999999999997</v>
      </c>
      <c r="I21" s="25">
        <f>0+3014.6</f>
        <v>3014.6</v>
      </c>
      <c r="J21" s="25">
        <v>512988.39999999997</v>
      </c>
      <c r="K21" s="31">
        <f>66325.8+19507+24965.3+33.5</f>
        <v>110831.6</v>
      </c>
      <c r="L21" s="25">
        <v>33877.5</v>
      </c>
      <c r="M21" s="25">
        <f>4748.4+1.9</f>
        <v>4750.2999999999993</v>
      </c>
      <c r="N21" s="25">
        <f>365723.1+530+73.1</f>
        <v>366326.19999999995</v>
      </c>
      <c r="O21" s="27">
        <v>488669.49999999994</v>
      </c>
      <c r="P21" s="28">
        <v>205894.19999999998</v>
      </c>
      <c r="Q21" s="33">
        <f>1371.7+103004.7+0+3804.3-99945.6-31.4-59-1.4</f>
        <v>8143.299999999992</v>
      </c>
      <c r="R21" s="34">
        <f>123164.8+103326.9+7801.6-24965.3-27990.2</f>
        <v>181337.80000000002</v>
      </c>
      <c r="S21" s="27">
        <f t="shared" ref="S21" si="4">SUM(B21:R21)</f>
        <v>4598049.5999999996</v>
      </c>
    </row>
    <row r="22" spans="1:19" s="45" customFormat="1" x14ac:dyDescent="0.25">
      <c r="A22" s="46"/>
      <c r="B22" s="47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/>
      <c r="P22" s="49"/>
      <c r="Q22" s="50"/>
      <c r="R22" s="49"/>
      <c r="S22" s="56"/>
    </row>
    <row r="23" spans="1:19" s="55" customFormat="1" ht="18.75" x14ac:dyDescent="0.3">
      <c r="A23" s="51" t="s">
        <v>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</row>
    <row r="24" spans="1:19" s="23" customFormat="1" x14ac:dyDescent="0.25">
      <c r="O24" s="35"/>
      <c r="P24" s="35"/>
      <c r="Q24" s="36"/>
      <c r="R24" s="35"/>
      <c r="S24" s="35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2010-03-04T18:44:39Z</cp:lastPrinted>
  <dcterms:created xsi:type="dcterms:W3CDTF">2000-09-13T05:55:37Z</dcterms:created>
  <dcterms:modified xsi:type="dcterms:W3CDTF">2023-01-06T11:43:34Z</dcterms:modified>
</cp:coreProperties>
</file>