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24000" windowHeight="9135" firstSheet="1" activeTab="3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20" i="3" l="1"/>
  <c r="Q20" i="3"/>
  <c r="N20" i="3"/>
  <c r="M20" i="3"/>
  <c r="K20" i="3"/>
  <c r="I20" i="3"/>
  <c r="E20" i="3"/>
  <c r="D20" i="3"/>
  <c r="C20" i="3"/>
  <c r="B20" i="3"/>
  <c r="R60" i="5"/>
  <c r="Q60" i="5"/>
  <c r="N60" i="5"/>
  <c r="M60" i="5"/>
  <c r="K60" i="5"/>
  <c r="E60" i="5"/>
  <c r="D60" i="5"/>
  <c r="C60" i="5"/>
  <c r="B60" i="5"/>
  <c r="R59" i="5"/>
  <c r="Q59" i="5"/>
  <c r="N59" i="5"/>
  <c r="M59" i="5"/>
  <c r="K59" i="5"/>
  <c r="I59" i="5"/>
  <c r="E59" i="5"/>
  <c r="D59" i="5"/>
  <c r="C59" i="5"/>
  <c r="B59" i="5"/>
  <c r="R166" i="4"/>
  <c r="Q166" i="4"/>
  <c r="N166" i="4"/>
  <c r="M166" i="4"/>
  <c r="K166" i="4"/>
  <c r="E166" i="4"/>
  <c r="D166" i="4"/>
  <c r="C166" i="4"/>
  <c r="B166" i="4"/>
  <c r="R165" i="4"/>
  <c r="Q165" i="4"/>
  <c r="N165" i="4"/>
  <c r="M165" i="4"/>
  <c r="K165" i="4"/>
  <c r="I165" i="4"/>
  <c r="E165" i="4"/>
  <c r="D165" i="4"/>
  <c r="C165" i="4"/>
  <c r="B165" i="4"/>
  <c r="R164" i="4"/>
  <c r="Q164" i="4"/>
  <c r="N164" i="4"/>
  <c r="M164" i="4"/>
  <c r="K164" i="4"/>
  <c r="I164" i="4"/>
  <c r="E164" i="4"/>
  <c r="D164" i="4"/>
  <c r="C164" i="4"/>
  <c r="B164" i="4"/>
  <c r="R163" i="4"/>
  <c r="Q163" i="4"/>
  <c r="N163" i="4"/>
  <c r="M163" i="4"/>
  <c r="K163" i="4"/>
  <c r="I163" i="4"/>
  <c r="E163" i="4"/>
  <c r="D163" i="4"/>
  <c r="C163" i="4"/>
  <c r="B163" i="4"/>
  <c r="S20" i="3" l="1"/>
  <c r="S59" i="5"/>
  <c r="S60" i="5"/>
  <c r="S163" i="4"/>
  <c r="S165" i="4"/>
  <c r="S164" i="4"/>
  <c r="S166" i="4"/>
  <c r="R162" i="4"/>
  <c r="Q162" i="4"/>
  <c r="N162" i="4"/>
  <c r="M162" i="4"/>
  <c r="K162" i="4"/>
  <c r="I162" i="4"/>
  <c r="E162" i="4"/>
  <c r="D162" i="4"/>
  <c r="C162" i="4"/>
  <c r="B162" i="4"/>
  <c r="R161" i="4"/>
  <c r="Q161" i="4"/>
  <c r="N161" i="4"/>
  <c r="M161" i="4"/>
  <c r="K161" i="4"/>
  <c r="I161" i="4"/>
  <c r="E161" i="4"/>
  <c r="D161" i="4"/>
  <c r="C161" i="4"/>
  <c r="B161" i="4"/>
  <c r="S161" i="4" l="1"/>
  <c r="S162" i="4"/>
  <c r="R58" i="5"/>
  <c r="Q58" i="5"/>
  <c r="N58" i="5"/>
  <c r="M58" i="5"/>
  <c r="K58" i="5"/>
  <c r="E58" i="5"/>
  <c r="D58" i="5"/>
  <c r="C58" i="5"/>
  <c r="B58" i="5"/>
  <c r="R160" i="4"/>
  <c r="Q160" i="4"/>
  <c r="N160" i="4"/>
  <c r="M160" i="4"/>
  <c r="K160" i="4"/>
  <c r="E160" i="4"/>
  <c r="D160" i="4"/>
  <c r="C160" i="4"/>
  <c r="B160" i="4"/>
  <c r="S160" i="4" s="1"/>
  <c r="S58" i="5" l="1"/>
  <c r="R159" i="4"/>
  <c r="Q159" i="4"/>
  <c r="K159" i="4"/>
  <c r="E159" i="4"/>
  <c r="D159" i="4"/>
  <c r="B159" i="4"/>
  <c r="S159" i="4" s="1"/>
  <c r="S158" i="4"/>
  <c r="R158" i="4"/>
  <c r="Q158" i="4"/>
  <c r="K158" i="4"/>
  <c r="E158" i="4"/>
  <c r="D158" i="4"/>
  <c r="B158" i="4"/>
  <c r="R57" i="5" l="1"/>
  <c r="Q57" i="5"/>
  <c r="K57" i="5"/>
  <c r="E57" i="5"/>
  <c r="D57" i="5"/>
  <c r="B57" i="5"/>
  <c r="S57" i="5" s="1"/>
  <c r="R157" i="4"/>
  <c r="S157" i="4" s="1"/>
  <c r="Q157" i="4"/>
  <c r="K157" i="4"/>
  <c r="E157" i="4"/>
  <c r="D157" i="4"/>
  <c r="B157" i="4"/>
  <c r="R156" i="4" l="1"/>
  <c r="Q156" i="4"/>
  <c r="K156" i="4"/>
  <c r="E156" i="4"/>
  <c r="D156" i="4"/>
  <c r="B156" i="4"/>
  <c r="S156" i="4" s="1"/>
  <c r="R155" i="4" l="1"/>
  <c r="Q155" i="4"/>
  <c r="K155" i="4"/>
  <c r="E155" i="4"/>
  <c r="D155" i="4"/>
  <c r="B155" i="4"/>
  <c r="S155" i="4" s="1"/>
  <c r="R56" i="5" l="1"/>
  <c r="Q56" i="5"/>
  <c r="K56" i="5"/>
  <c r="E56" i="5"/>
  <c r="D56" i="5"/>
  <c r="B56" i="5"/>
  <c r="R154" i="4"/>
  <c r="Q154" i="4"/>
  <c r="K154" i="4"/>
  <c r="E154" i="4"/>
  <c r="D154" i="4"/>
  <c r="B154" i="4"/>
  <c r="S56" i="5" l="1"/>
  <c r="S154" i="4"/>
  <c r="R19" i="3"/>
  <c r="Q19" i="3"/>
  <c r="E19" i="3"/>
  <c r="S19" i="3" s="1"/>
  <c r="R55" i="5"/>
  <c r="Q55" i="5"/>
  <c r="E55" i="5"/>
  <c r="S55" i="5" s="1"/>
  <c r="R153" i="4"/>
  <c r="Q153" i="4"/>
  <c r="K153" i="4"/>
  <c r="E153" i="4"/>
  <c r="D153" i="4"/>
  <c r="B153" i="4"/>
  <c r="R152" i="4"/>
  <c r="Q152" i="4"/>
  <c r="E152" i="4"/>
  <c r="D152" i="4"/>
  <c r="B152" i="4"/>
  <c r="R151" i="4"/>
  <c r="Q151" i="4"/>
  <c r="E151" i="4"/>
  <c r="S152" i="4" l="1"/>
  <c r="S153" i="4"/>
  <c r="S151" i="4"/>
  <c r="R150" i="4" l="1"/>
  <c r="Q150" i="4"/>
  <c r="K150" i="4"/>
  <c r="E150" i="4"/>
  <c r="D150" i="4"/>
  <c r="B150" i="4"/>
  <c r="S150" i="4" l="1"/>
  <c r="R149" i="4"/>
  <c r="Q149" i="4"/>
  <c r="K149" i="4"/>
  <c r="E149" i="4"/>
  <c r="D149" i="4"/>
  <c r="B149" i="4"/>
  <c r="S149" i="4" s="1"/>
  <c r="R54" i="5" l="1"/>
  <c r="Q54" i="5"/>
  <c r="K54" i="5"/>
  <c r="E54" i="5"/>
  <c r="D54" i="5"/>
  <c r="B54" i="5"/>
  <c r="S54" i="5" s="1"/>
  <c r="R148" i="4"/>
  <c r="Q148" i="4"/>
  <c r="K148" i="4"/>
  <c r="E148" i="4"/>
  <c r="D148" i="4"/>
  <c r="B148" i="4"/>
  <c r="S148" i="4" l="1"/>
  <c r="R147" i="4"/>
  <c r="Q147" i="4"/>
  <c r="K147" i="4"/>
  <c r="E147" i="4"/>
  <c r="D147" i="4"/>
  <c r="B147" i="4"/>
  <c r="S147" i="4" s="1"/>
  <c r="K146" i="4" l="1"/>
  <c r="E146" i="4"/>
  <c r="D146" i="4"/>
  <c r="B146" i="4"/>
  <c r="S146" i="4" s="1"/>
  <c r="R53" i="5" l="1"/>
  <c r="Q53" i="5"/>
  <c r="K53" i="5"/>
  <c r="E53" i="5"/>
  <c r="D53" i="5"/>
  <c r="B53" i="5"/>
  <c r="S53" i="5" s="1"/>
  <c r="R145" i="4" l="1"/>
  <c r="Q145" i="4"/>
  <c r="K145" i="4"/>
  <c r="E145" i="4"/>
  <c r="D145" i="4"/>
  <c r="B145" i="4"/>
  <c r="S145" i="4" s="1"/>
  <c r="R144" i="4" l="1"/>
  <c r="Q144" i="4"/>
  <c r="K144" i="4"/>
  <c r="E144" i="4"/>
  <c r="D144" i="4"/>
  <c r="B144" i="4"/>
  <c r="S144" i="4" l="1"/>
  <c r="R143" i="4"/>
  <c r="Q143" i="4"/>
  <c r="K143" i="4"/>
  <c r="E143" i="4"/>
  <c r="D143" i="4"/>
  <c r="B143" i="4"/>
  <c r="S143" i="4" s="1"/>
  <c r="S18" i="3" l="1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Q141" i="4"/>
  <c r="E141" i="4"/>
  <c r="Q140" i="4"/>
  <c r="E140" i="4"/>
  <c r="S139" i="4"/>
  <c r="S140" i="4" l="1"/>
  <c r="S142" i="4"/>
  <c r="S141" i="4"/>
  <c r="S52" i="5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<sst xmlns="http://schemas.openxmlformats.org/spreadsheetml/2006/main" count="199" uniqueCount="52">
  <si>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</si>
  <si>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</si>
  <si>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</si>
  <si>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</si>
  <si>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</si>
  <si>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</si>
  <si>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</si>
  <si>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</si>
  <si>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</si>
  <si>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</si>
  <si>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</si>
  <si>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</si>
  <si>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</si>
  <si>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</si>
  <si>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</si>
  <si>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</si>
  <si>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</si>
  <si>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</si>
  <si>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</si>
  <si>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</si>
  <si>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</si>
  <si>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</si>
  <si>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</si>
  <si>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</si>
  <si>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</si>
  <si>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</si>
  <si>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</si>
  <si>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</si>
  <si>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</si>
  <si>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</si>
  <si>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</si>
  <si>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</si>
  <si>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</si>
  <si>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</si>
  <si>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</si>
  <si>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</si>
  <si>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</si>
  <si>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</si>
  <si>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</si>
  <si>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</si>
  <si>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</si>
  <si>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</si>
  <si>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</si>
  <si>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</si>
  <si>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</si>
  <si>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</si>
  <si>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</si>
  <si>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</si>
  <si>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</si>
  <si>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</si>
  <si>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2020</t>
  </si>
  <si>
    <t>Q1-2021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</si>
</sst>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20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0" fillId="0" borderId="4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4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8" xfId="0" quotePrefix="1" applyNumberFormat="1" applyFont="1" applyFill="1" applyBorder="1" applyAlignment="1">
      <alignment horizontal="left"/>
    </xf>
    <xf numFmtId="165" fontId="11" fillId="0" borderId="8" xfId="0" applyNumberFormat="1" applyFont="1" applyBorder="1" applyAlignment="1" applyProtection="1">
      <alignment horizontal="right"/>
    </xf>
    <xf numFmtId="165" fontId="11" fillId="0" borderId="8" xfId="0" quotePrefix="1" applyNumberFormat="1" applyFont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right"/>
    </xf>
    <xf numFmtId="166" fontId="11" fillId="0" borderId="8" xfId="1" applyNumberFormat="1" applyFont="1" applyFill="1" applyBorder="1" applyAlignment="1" applyProtection="1">
      <alignment horizontal="right"/>
    </xf>
    <xf numFmtId="167" fontId="11" fillId="0" borderId="8" xfId="0" applyNumberFormat="1" applyFont="1" applyFill="1" applyBorder="1" applyAlignment="1" applyProtection="1">
      <alignment horizontal="right"/>
    </xf>
    <xf numFmtId="165" fontId="11" fillId="2" borderId="8" xfId="0" applyNumberFormat="1" applyFont="1" applyFill="1" applyBorder="1" applyAlignment="1" applyProtection="1">
      <alignment horizontal="right"/>
    </xf>
    <xf numFmtId="165" fontId="11" fillId="0" borderId="8" xfId="0" applyFont="1" applyBorder="1"/>
    <xf numFmtId="165" fontId="11" fillId="0" borderId="8" xfId="0" applyFont="1" applyFill="1" applyBorder="1"/>
    <xf numFmtId="167" fontId="11" fillId="0" borderId="8" xfId="0" applyNumberFormat="1" applyFont="1" applyFill="1" applyBorder="1"/>
    <xf numFmtId="165" fontId="11" fillId="2" borderId="8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7" fillId="0" borderId="0" xfId="0" applyFont="1"/>
    <xf numFmtId="168" fontId="11" fillId="2" borderId="9" xfId="0" quotePrefix="1" applyNumberFormat="1" applyFont="1" applyFill="1" applyBorder="1" applyAlignment="1">
      <alignment horizontal="left"/>
    </xf>
    <xf numFmtId="165" fontId="11" fillId="0" borderId="9" xfId="0" applyFont="1" applyBorder="1"/>
    <xf numFmtId="165" fontId="11" fillId="2" borderId="9" xfId="0" applyFont="1" applyFill="1" applyBorder="1"/>
    <xf numFmtId="165" fontId="11" fillId="0" borderId="9" xfId="0" applyNumberFormat="1" applyFont="1" applyBorder="1" applyAlignment="1" applyProtection="1">
      <alignment horizontal="right"/>
    </xf>
    <xf numFmtId="165" fontId="11" fillId="0" borderId="9" xfId="0" applyNumberFormat="1" applyFont="1" applyFill="1" applyBorder="1" applyAlignment="1" applyProtection="1">
      <alignment horizontal="right"/>
    </xf>
    <xf numFmtId="166" fontId="11" fillId="0" borderId="9" xfId="1" applyNumberFormat="1" applyFont="1" applyFill="1" applyBorder="1" applyAlignment="1" applyProtection="1">
      <alignment horizontal="right"/>
    </xf>
    <xf numFmtId="167" fontId="11" fillId="0" borderId="9" xfId="0" applyNumberFormat="1" applyFont="1" applyFill="1" applyBorder="1"/>
    <xf numFmtId="165" fontId="11" fillId="0" borderId="0" xfId="0" applyFont="1" applyBorder="1"/>
    <xf numFmtId="165" fontId="15" fillId="0" borderId="10" xfId="0" applyNumberFormat="1" applyFont="1" applyBorder="1" applyProtection="1"/>
    <xf numFmtId="165" fontId="11" fillId="0" borderId="1" xfId="0" applyFont="1" applyBorder="1"/>
    <xf numFmtId="165" fontId="16" fillId="0" borderId="1" xfId="0" applyFont="1" applyBorder="1"/>
    <xf numFmtId="165" fontId="11" fillId="0" borderId="1" xfId="0" applyFont="1" applyFill="1" applyBorder="1"/>
    <xf numFmtId="167" fontId="11" fillId="0" borderId="1" xfId="0" applyNumberFormat="1" applyFont="1" applyFill="1" applyBorder="1"/>
    <xf numFmtId="165" fontId="14" fillId="0" borderId="5" xfId="0" applyFont="1" applyBorder="1"/>
    <xf numFmtId="165" fontId="17" fillId="0" borderId="6" xfId="0" applyFont="1" applyBorder="1"/>
    <xf numFmtId="165" fontId="17" fillId="0" borderId="7" xfId="0" applyFont="1" applyBorder="1"/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7" fillId="0" borderId="0" xfId="0" applyFont="1" applyBorder="1"/>
    <xf numFmtId="165" fontId="11" fillId="0" borderId="2" xfId="0" applyFont="1" applyFill="1" applyBorder="1"/>
    <xf numFmtId="165" fontId="6" fillId="3" borderId="11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8" fillId="0" borderId="0" xfId="2" applyNumberFormat="1" applyFont="1" applyAlignment="1" applyProtection="1"/>
    <xf numFmtId="165" fontId="19" fillId="0" borderId="0" xfId="0" applyFont="1"/>
    <xf numFmtId="165" fontId="15" fillId="0" borderId="8" xfId="0" applyFont="1" applyBorder="1" applyAlignment="1">
      <alignment horizontal="center"/>
    </xf>
    <xf numFmtId="168" fontId="11" fillId="0" borderId="8" xfId="0" applyNumberFormat="1" applyFont="1" applyBorder="1" applyAlignment="1">
      <alignment horizontal="left"/>
    </xf>
    <xf numFmtId="165" fontId="10" fillId="0" borderId="8" xfId="0" applyFont="1" applyBorder="1" applyAlignment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left"/>
    </xf>
    <xf numFmtId="165" fontId="14" fillId="5" borderId="8" xfId="0" applyNumberFormat="1" applyFont="1" applyFill="1" applyBorder="1" applyAlignment="1" applyProtection="1">
      <alignment horizontal="center" vertical="center"/>
    </xf>
    <xf numFmtId="167" fontId="14" fillId="5" borderId="8" xfId="0" applyNumberFormat="1" applyFont="1" applyFill="1" applyBorder="1" applyAlignment="1" applyProtection="1">
      <alignment horizontal="center" vertical="center" wrapText="1"/>
    </xf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167" fontId="14" fillId="5" borderId="12" xfId="0" applyNumberFormat="1" applyFont="1" applyFill="1" applyBorder="1" applyAlignment="1" applyProtection="1">
      <alignment horizontal="center" vertical="center"/>
    </xf>
    <xf numFmtId="167" fontId="14" fillId="5" borderId="13" xfId="0" applyNumberFormat="1" applyFont="1" applyFill="1" applyBorder="1" applyAlignment="1" applyProtection="1">
      <alignment horizontal="center" vertical="center"/>
    </xf>
    <xf numFmtId="165" fontId="14" fillId="6" borderId="8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1" workbookViewId="0">
      <selection activeCell="E14" sqref="E14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7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8">
        <v>44286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9" t="s">
        <v>51</v>
      </c>
    </row>
    <row r="14" spans="2:5" x14ac:dyDescent="0.25">
      <c r="B14" s="16" t="s">
        <v>25</v>
      </c>
      <c r="C14" s="17" t="s">
        <v>33</v>
      </c>
      <c r="D14" s="17" t="s">
        <v>25</v>
      </c>
      <c r="E14" s="60" t="s">
        <v>50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65" t="s">
        <v>46</v>
      </c>
    </row>
    <row r="25" spans="2:3" x14ac:dyDescent="0.25">
      <c r="B25" s="63" t="s">
        <v>36</v>
      </c>
    </row>
    <row r="26" spans="2:3" x14ac:dyDescent="0.25">
      <c r="B26" s="63" t="s">
        <v>5</v>
      </c>
    </row>
    <row r="27" spans="2:3" x14ac:dyDescent="0.25">
      <c r="B27" s="63" t="s">
        <v>6</v>
      </c>
    </row>
    <row r="28" spans="2:3" x14ac:dyDescent="0.25">
      <c r="B28" s="63" t="s">
        <v>47</v>
      </c>
    </row>
    <row r="29" spans="2:3" x14ac:dyDescent="0.25">
      <c r="B29" s="63" t="s">
        <v>7</v>
      </c>
    </row>
    <row r="30" spans="2:3" x14ac:dyDescent="0.25">
      <c r="B30" s="63" t="s">
        <v>8</v>
      </c>
    </row>
    <row r="31" spans="2:3" x14ac:dyDescent="0.25">
      <c r="B31" s="63" t="s">
        <v>9</v>
      </c>
    </row>
    <row r="32" spans="2:3" x14ac:dyDescent="0.25">
      <c r="B32" s="63" t="s">
        <v>10</v>
      </c>
    </row>
    <row r="33" spans="2:2" x14ac:dyDescent="0.25">
      <c r="B33" s="63" t="s">
        <v>45</v>
      </c>
    </row>
    <row r="34" spans="2:2" x14ac:dyDescent="0.25">
      <c r="B34" s="63" t="s">
        <v>11</v>
      </c>
    </row>
    <row r="35" spans="2:2" x14ac:dyDescent="0.25">
      <c r="B35" s="63" t="s">
        <v>42</v>
      </c>
    </row>
    <row r="36" spans="2:2" x14ac:dyDescent="0.25">
      <c r="B36" s="63" t="s">
        <v>43</v>
      </c>
    </row>
    <row r="37" spans="2:2" x14ac:dyDescent="0.25">
      <c r="B37" s="63" t="s">
        <v>12</v>
      </c>
    </row>
    <row r="38" spans="2:2" x14ac:dyDescent="0.25">
      <c r="B38" s="63" t="s">
        <v>13</v>
      </c>
    </row>
    <row r="39" spans="2:2" x14ac:dyDescent="0.25">
      <c r="B39" s="63" t="s">
        <v>14</v>
      </c>
    </row>
    <row r="40" spans="2:2" x14ac:dyDescent="0.25">
      <c r="B40" s="63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83"/>
  <sheetViews>
    <sheetView workbookViewId="0">
      <pane xSplit="1" ySplit="7" topLeftCell="R158" activePane="bottomRight" state="frozen"/>
      <selection pane="topRight" activeCell="B1" sqref="B1"/>
      <selection pane="bottomLeft" activeCell="A7" sqref="A7"/>
      <selection pane="bottomRight" activeCell="S166" sqref="S166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1" customWidth="1"/>
    <col min="17" max="17" width="14.44140625" customWidth="1"/>
    <col min="19" max="19" width="13.77734375" customWidth="1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0" t="s">
        <v>4</v>
      </c>
      <c r="C6" s="72" t="s">
        <v>5</v>
      </c>
      <c r="D6" s="72" t="s">
        <v>41</v>
      </c>
      <c r="E6" s="78" t="s">
        <v>47</v>
      </c>
      <c r="F6" s="78"/>
      <c r="G6" s="78"/>
      <c r="H6" s="72" t="s">
        <v>7</v>
      </c>
      <c r="I6" s="72" t="s">
        <v>8</v>
      </c>
      <c r="J6" s="72" t="s">
        <v>9</v>
      </c>
      <c r="K6" s="72" t="s">
        <v>10</v>
      </c>
      <c r="L6" s="72" t="s">
        <v>45</v>
      </c>
      <c r="M6" s="72" t="s">
        <v>11</v>
      </c>
      <c r="N6" s="72" t="s">
        <v>42</v>
      </c>
      <c r="O6" s="72" t="s">
        <v>43</v>
      </c>
      <c r="P6" s="70" t="s">
        <v>12</v>
      </c>
      <c r="Q6" s="71" t="s">
        <v>13</v>
      </c>
      <c r="R6" s="72" t="s">
        <v>14</v>
      </c>
      <c r="S6" s="70" t="s">
        <v>15</v>
      </c>
    </row>
    <row r="7" spans="1:19" s="37" customFormat="1" ht="90" customHeight="1" x14ac:dyDescent="0.3">
      <c r="A7" s="77"/>
      <c r="B7" s="70"/>
      <c r="C7" s="72"/>
      <c r="D7" s="72"/>
      <c r="E7" s="54" t="s">
        <v>4</v>
      </c>
      <c r="F7" s="54" t="s">
        <v>5</v>
      </c>
      <c r="G7" s="54" t="s">
        <v>48</v>
      </c>
      <c r="H7" s="72"/>
      <c r="I7" s="72"/>
      <c r="J7" s="72"/>
      <c r="K7" s="72"/>
      <c r="L7" s="72"/>
      <c r="M7" s="72"/>
      <c r="N7" s="72"/>
      <c r="O7" s="72"/>
      <c r="P7" s="70"/>
      <c r="Q7" s="71"/>
      <c r="R7" s="72"/>
      <c r="S7" s="70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64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64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64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64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64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64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64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39" si="2">SUM(B137:R137)</f>
        <v>2313791.5</v>
      </c>
    </row>
    <row r="138" spans="1:19" s="23" customFormat="1" x14ac:dyDescent="0.25">
      <c r="A138" s="64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64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64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66" si="3">SUM(B140:R140)</f>
        <v>2357178.7000000007</v>
      </c>
    </row>
    <row r="141" spans="1:19" s="23" customFormat="1" x14ac:dyDescent="0.25">
      <c r="A141" s="64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64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23" customFormat="1" x14ac:dyDescent="0.25">
      <c r="A143" s="64">
        <v>43556</v>
      </c>
      <c r="B143" s="39">
        <f>845684.2+16100.4</f>
        <v>861784.6</v>
      </c>
      <c r="C143" s="39">
        <v>361614.9</v>
      </c>
      <c r="D143" s="40">
        <f>21540.4+121425.3</f>
        <v>142965.70000000001</v>
      </c>
      <c r="E143" s="40">
        <f>38062.2+58.4</f>
        <v>38120.6</v>
      </c>
      <c r="F143" s="40">
        <v>43638.8</v>
      </c>
      <c r="G143" s="40">
        <v>738.1</v>
      </c>
      <c r="H143" s="41">
        <v>3310.3</v>
      </c>
      <c r="I143" s="41">
        <v>4492.3</v>
      </c>
      <c r="J143" s="41">
        <v>295103.8</v>
      </c>
      <c r="K143" s="39">
        <f>1807.8+10988.7+47443.8</f>
        <v>60240.3</v>
      </c>
      <c r="L143" s="41">
        <v>17022.2</v>
      </c>
      <c r="M143" s="41">
        <v>807.7</v>
      </c>
      <c r="N143" s="41">
        <v>197777.1</v>
      </c>
      <c r="O143" s="42">
        <v>271061.59999999998</v>
      </c>
      <c r="P143" s="43">
        <v>62743.199999999997</v>
      </c>
      <c r="Q143" s="44">
        <f>319.1+791.6-3.6-33.2-31.4-4.7</f>
        <v>1037.8</v>
      </c>
      <c r="R143" s="40">
        <f>60674.9+85740.6+2396.7-16100.4-10988.7</f>
        <v>121723.10000000002</v>
      </c>
      <c r="S143" s="27">
        <f t="shared" si="3"/>
        <v>2484182.1000000006</v>
      </c>
    </row>
    <row r="144" spans="1:19" s="23" customFormat="1" x14ac:dyDescent="0.25">
      <c r="A144" s="64">
        <v>43616</v>
      </c>
      <c r="B144" s="39">
        <f>879505.7+17958.3</f>
        <v>897464</v>
      </c>
      <c r="C144" s="39">
        <v>369521.6</v>
      </c>
      <c r="D144" s="40">
        <f>19836.8+117717.6</f>
        <v>137554.4</v>
      </c>
      <c r="E144" s="40">
        <f>33757+58.4</f>
        <v>33815.4</v>
      </c>
      <c r="F144" s="40">
        <v>45062.1</v>
      </c>
      <c r="G144" s="40">
        <v>782.5</v>
      </c>
      <c r="H144" s="41">
        <v>3170.4</v>
      </c>
      <c r="I144" s="41">
        <v>4586.7</v>
      </c>
      <c r="J144" s="41">
        <v>320092.09999999998</v>
      </c>
      <c r="K144" s="39">
        <f>9699.8+11945.5+36787.6</f>
        <v>58432.899999999994</v>
      </c>
      <c r="L144" s="41">
        <v>25015.8</v>
      </c>
      <c r="M144" s="41">
        <v>801.5</v>
      </c>
      <c r="N144" s="41">
        <v>198646.2</v>
      </c>
      <c r="O144" s="42">
        <v>279015.59999999998</v>
      </c>
      <c r="P144" s="43">
        <v>58688.9</v>
      </c>
      <c r="Q144" s="44">
        <f>9305.8+7501.2-844.1-11830.7-31.4-4.7</f>
        <v>4096.0999999999995</v>
      </c>
      <c r="R144" s="40">
        <f>64902+88177.2+1929.2-11945.5-17958.3</f>
        <v>125104.60000000002</v>
      </c>
      <c r="S144" s="27">
        <f t="shared" si="3"/>
        <v>2561850.7999999998</v>
      </c>
    </row>
    <row r="145" spans="1:19" s="23" customFormat="1" x14ac:dyDescent="0.25">
      <c r="A145" s="64">
        <v>43617</v>
      </c>
      <c r="B145" s="39">
        <f>883112+35432.4</f>
        <v>918544.4</v>
      </c>
      <c r="C145" s="39">
        <v>384199</v>
      </c>
      <c r="D145" s="40">
        <f>21144.9+119745.4</f>
        <v>140890.29999999999</v>
      </c>
      <c r="E145" s="40">
        <f>33415.3+58.4</f>
        <v>33473.700000000004</v>
      </c>
      <c r="F145" s="40">
        <v>45316</v>
      </c>
      <c r="G145" s="40">
        <v>784.9</v>
      </c>
      <c r="H145" s="41">
        <v>5296.3</v>
      </c>
      <c r="I145" s="41">
        <v>4605</v>
      </c>
      <c r="J145" s="41">
        <v>334675.3</v>
      </c>
      <c r="K145" s="39">
        <f>29603.4+9328.2+40739.2</f>
        <v>79670.8</v>
      </c>
      <c r="L145" s="41">
        <v>23651.200000000001</v>
      </c>
      <c r="M145" s="41">
        <v>807.1</v>
      </c>
      <c r="N145" s="41">
        <v>199660</v>
      </c>
      <c r="O145" s="42">
        <v>279968.5</v>
      </c>
      <c r="P145" s="43">
        <v>64021.4</v>
      </c>
      <c r="Q145" s="44">
        <f>165.2+2000.8-381.5-2003.6-31.4-3.5</f>
        <v>-253.99999999999991</v>
      </c>
      <c r="R145" s="40">
        <f>86888.9+93900.6+1980.8-9328.2-35432.4</f>
        <v>138009.69999999998</v>
      </c>
      <c r="S145" s="27">
        <f t="shared" si="3"/>
        <v>2653319.6</v>
      </c>
    </row>
    <row r="146" spans="1:19" s="23" customFormat="1" x14ac:dyDescent="0.25">
      <c r="A146" s="64">
        <v>43677</v>
      </c>
      <c r="B146" s="39">
        <f>917090.5+17843.4</f>
        <v>934933.9</v>
      </c>
      <c r="C146" s="39">
        <v>378991.5</v>
      </c>
      <c r="D146" s="40">
        <f>20933+122025.5</f>
        <v>142958.5</v>
      </c>
      <c r="E146" s="40">
        <f>22592+58.4</f>
        <v>22650.400000000001</v>
      </c>
      <c r="F146" s="40">
        <v>42263.8</v>
      </c>
      <c r="G146" s="40">
        <v>1110.1999999999998</v>
      </c>
      <c r="H146" s="41">
        <v>3422.3</v>
      </c>
      <c r="I146" s="41">
        <v>4645.6000000000004</v>
      </c>
      <c r="J146" s="41">
        <v>349600.4</v>
      </c>
      <c r="K146" s="39">
        <f>9464.2+9488.6+39333.7</f>
        <v>58286.5</v>
      </c>
      <c r="L146" s="41">
        <v>21066.5</v>
      </c>
      <c r="M146" s="41">
        <v>823.90000000000009</v>
      </c>
      <c r="N146" s="41">
        <v>231174</v>
      </c>
      <c r="O146" s="42">
        <v>280107.3</v>
      </c>
      <c r="P146" s="43">
        <v>74769</v>
      </c>
      <c r="Q146" s="44">
        <v>-20948.099999999999</v>
      </c>
      <c r="R146" s="40">
        <v>134382.39999999999</v>
      </c>
      <c r="S146" s="27">
        <f t="shared" si="3"/>
        <v>2660238.0999999996</v>
      </c>
    </row>
    <row r="147" spans="1:19" s="23" customFormat="1" x14ac:dyDescent="0.25">
      <c r="A147" s="64">
        <v>43678</v>
      </c>
      <c r="B147" s="39">
        <f>931394+14925.8</f>
        <v>946319.8</v>
      </c>
      <c r="C147" s="39">
        <v>383572.8</v>
      </c>
      <c r="D147" s="40">
        <f>21157.2+122509.3</f>
        <v>143666.5</v>
      </c>
      <c r="E147" s="40">
        <f>25771.9+56.2</f>
        <v>25828.100000000002</v>
      </c>
      <c r="F147" s="40">
        <v>41449.9</v>
      </c>
      <c r="G147" s="40">
        <v>1066.8999999999999</v>
      </c>
      <c r="H147" s="41">
        <v>6192.2999999999984</v>
      </c>
      <c r="I147" s="41">
        <v>4666.2000000000007</v>
      </c>
      <c r="J147" s="41">
        <v>342795</v>
      </c>
      <c r="K147" s="39">
        <f>8470.8+10429.6+42090.3</f>
        <v>60990.700000000004</v>
      </c>
      <c r="L147" s="41">
        <v>20171.599999999999</v>
      </c>
      <c r="M147" s="41">
        <v>840</v>
      </c>
      <c r="N147" s="41">
        <v>221742.39999999997</v>
      </c>
      <c r="O147" s="42">
        <v>281778</v>
      </c>
      <c r="P147" s="43">
        <v>84939</v>
      </c>
      <c r="Q147" s="44">
        <f>23481.8+0-270.2-28473-31.4-0.1</f>
        <v>-5292.9000000000015</v>
      </c>
      <c r="R147" s="40">
        <f>62894.2+96830.8+2799.1-10429.6-14925.8</f>
        <v>137168.70000000001</v>
      </c>
      <c r="S147" s="27">
        <f t="shared" si="3"/>
        <v>2697895.0000000005</v>
      </c>
    </row>
    <row r="148" spans="1:19" s="23" customFormat="1" x14ac:dyDescent="0.25">
      <c r="A148" s="64">
        <v>43738</v>
      </c>
      <c r="B148" s="31">
        <f>940224.1+11001.8</f>
        <v>951225.9</v>
      </c>
      <c r="C148" s="31">
        <v>377943.99999999994</v>
      </c>
      <c r="D148" s="34">
        <f>20172.8+125072</f>
        <v>145244.79999999999</v>
      </c>
      <c r="E148" s="34">
        <f>33907.9+58.4</f>
        <v>33966.300000000003</v>
      </c>
      <c r="F148" s="34">
        <v>37680.5</v>
      </c>
      <c r="G148" s="34">
        <v>1051.9999999999998</v>
      </c>
      <c r="H148" s="25">
        <v>4654.6000000000004</v>
      </c>
      <c r="I148" s="25">
        <v>4591.7</v>
      </c>
      <c r="J148" s="25">
        <v>393162.60000000003</v>
      </c>
      <c r="K148" s="31">
        <f>19187.6+11457.2+41442</f>
        <v>72086.8</v>
      </c>
      <c r="L148" s="25">
        <v>20434.300000000003</v>
      </c>
      <c r="M148" s="25">
        <v>843.9</v>
      </c>
      <c r="N148" s="25">
        <v>223096</v>
      </c>
      <c r="O148" s="27">
        <v>282742.8</v>
      </c>
      <c r="P148" s="28">
        <v>96432.3</v>
      </c>
      <c r="Q148" s="33">
        <f>4759.4+0+24.3-6253.7-31.4-0.1</f>
        <v>-1501.5</v>
      </c>
      <c r="R148" s="34">
        <f>67293.7+94223.8+2985.9-11457.2-11001.8</f>
        <v>142044.4</v>
      </c>
      <c r="S148" s="27">
        <f t="shared" si="3"/>
        <v>2785701.4</v>
      </c>
    </row>
    <row r="149" spans="1:19" s="23" customFormat="1" x14ac:dyDescent="0.25">
      <c r="A149" s="64">
        <v>43739</v>
      </c>
      <c r="B149" s="31">
        <f>911372.4+8744.2</f>
        <v>920116.6</v>
      </c>
      <c r="C149" s="31">
        <v>398486.00000000006</v>
      </c>
      <c r="D149" s="34">
        <f>20145.7+123101.3</f>
        <v>143247</v>
      </c>
      <c r="E149" s="34">
        <f>38741.9+58.4</f>
        <v>38800.300000000003</v>
      </c>
      <c r="F149" s="34">
        <v>47789.1</v>
      </c>
      <c r="G149" s="34">
        <v>1044.0000000000002</v>
      </c>
      <c r="H149" s="25">
        <v>7033.7999999999993</v>
      </c>
      <c r="I149" s="25">
        <v>4627.8999999999996</v>
      </c>
      <c r="J149" s="25">
        <v>413805.2</v>
      </c>
      <c r="K149" s="31">
        <f>7509.3+12254.1+40236.9</f>
        <v>60000.3</v>
      </c>
      <c r="L149" s="25">
        <v>30107.299999999996</v>
      </c>
      <c r="M149" s="25">
        <v>868.30000000000007</v>
      </c>
      <c r="N149" s="25">
        <v>216587.20000000004</v>
      </c>
      <c r="O149" s="27">
        <v>282913.5</v>
      </c>
      <c r="P149" s="28">
        <v>107692.40000000001</v>
      </c>
      <c r="Q149" s="33">
        <f>9737.1+0-1.4-20233.2-31.4-0.1</f>
        <v>-10529</v>
      </c>
      <c r="R149" s="34">
        <f>64876.5+90325.6+2979.3-12254.1-8744.2</f>
        <v>137183.09999999998</v>
      </c>
      <c r="S149" s="27">
        <f t="shared" si="3"/>
        <v>2799773.0000000005</v>
      </c>
    </row>
    <row r="150" spans="1:19" s="23" customFormat="1" x14ac:dyDescent="0.25">
      <c r="A150" s="64">
        <v>43799</v>
      </c>
      <c r="B150" s="31">
        <f>844530.1+9359.1</f>
        <v>853889.2</v>
      </c>
      <c r="C150" s="31">
        <v>479912.69999999995</v>
      </c>
      <c r="D150" s="34">
        <f>19884.7+123394.4</f>
        <v>143279.1</v>
      </c>
      <c r="E150" s="34">
        <f>56892.1+58.4</f>
        <v>56950.5</v>
      </c>
      <c r="F150" s="34">
        <v>43721.3</v>
      </c>
      <c r="G150" s="34">
        <v>1095.8000000000002</v>
      </c>
      <c r="H150" s="25">
        <v>6393.2999999999993</v>
      </c>
      <c r="I150" s="25">
        <v>4653.2999999999993</v>
      </c>
      <c r="J150" s="25">
        <v>406709.49999999994</v>
      </c>
      <c r="K150" s="31">
        <f>6432+12829.4+54337.9</f>
        <v>73599.3</v>
      </c>
      <c r="L150" s="25">
        <v>29939</v>
      </c>
      <c r="M150" s="25">
        <v>1689.4</v>
      </c>
      <c r="N150" s="25">
        <v>218706.9</v>
      </c>
      <c r="O150" s="27">
        <v>283069.8</v>
      </c>
      <c r="P150" s="28">
        <v>112941.40000000001</v>
      </c>
      <c r="Q150" s="33">
        <f>17918.9+1800+0.6-12209.8-31.4-2.1</f>
        <v>7476.2000000000007</v>
      </c>
      <c r="R150" s="34">
        <f>63982.2+91597.8+3471.7-12829.4-9359.1</f>
        <v>136863.20000000001</v>
      </c>
      <c r="S150" s="27">
        <f t="shared" si="3"/>
        <v>2860889.9</v>
      </c>
    </row>
    <row r="151" spans="1:19" s="23" customFormat="1" x14ac:dyDescent="0.25">
      <c r="A151" s="64">
        <v>43800</v>
      </c>
      <c r="B151" s="31">
        <v>889356.69999999984</v>
      </c>
      <c r="C151" s="31">
        <v>497195.6</v>
      </c>
      <c r="D151" s="34">
        <v>147319.79999999999</v>
      </c>
      <c r="E151" s="34">
        <f>42949.2+58.4</f>
        <v>43007.6</v>
      </c>
      <c r="F151" s="34">
        <v>52965.500000000007</v>
      </c>
      <c r="G151" s="34">
        <v>1109.6999999999998</v>
      </c>
      <c r="H151" s="25">
        <v>5917.9</v>
      </c>
      <c r="I151" s="25">
        <v>4674.6000000000004</v>
      </c>
      <c r="J151" s="25">
        <v>427469.4</v>
      </c>
      <c r="K151" s="31">
        <v>82888.800000000003</v>
      </c>
      <c r="L151" s="25">
        <v>32600.300000000003</v>
      </c>
      <c r="M151" s="25">
        <v>927.60000000000014</v>
      </c>
      <c r="N151" s="25">
        <v>216615.89999999997</v>
      </c>
      <c r="O151" s="27">
        <v>291528.80000000005</v>
      </c>
      <c r="P151" s="28">
        <v>120578.99999999999</v>
      </c>
      <c r="Q151" s="33">
        <f>79.8+10119.5-13.2-15220.2-31.4-0</f>
        <v>-5065.5000000000018</v>
      </c>
      <c r="R151" s="34">
        <f>72539.8+74054.3+1953-16514.7-8349.2</f>
        <v>123683.2</v>
      </c>
      <c r="S151" s="27">
        <f t="shared" si="3"/>
        <v>2932774.8999999994</v>
      </c>
    </row>
    <row r="152" spans="1:19" s="23" customFormat="1" x14ac:dyDescent="0.25">
      <c r="A152" s="64">
        <v>43861</v>
      </c>
      <c r="B152" s="31">
        <f>876972.4+10062.3</f>
        <v>887034.70000000007</v>
      </c>
      <c r="C152" s="31">
        <v>503164.49999999994</v>
      </c>
      <c r="D152" s="34">
        <f>132084.1+15550.1</f>
        <v>147634.20000000001</v>
      </c>
      <c r="E152" s="34">
        <f>56127.5+58.4</f>
        <v>56185.9</v>
      </c>
      <c r="F152" s="34">
        <v>47317.5</v>
      </c>
      <c r="G152" s="34">
        <v>1184.5</v>
      </c>
      <c r="H152" s="25">
        <v>4083.9999999999995</v>
      </c>
      <c r="I152" s="25">
        <v>4707.8</v>
      </c>
      <c r="J152" s="25">
        <v>430666.30000000005</v>
      </c>
      <c r="K152" s="31">
        <v>60141.399999999994</v>
      </c>
      <c r="L152" s="25">
        <v>32598.800000000003</v>
      </c>
      <c r="M152" s="25">
        <v>1107.1000000000001</v>
      </c>
      <c r="N152" s="25">
        <v>279253.2</v>
      </c>
      <c r="O152" s="27">
        <v>292428.60000000003</v>
      </c>
      <c r="P152" s="28">
        <v>132411.9</v>
      </c>
      <c r="Q152" s="33">
        <f>35.8+10300.8+119.9+5.6-13507.3-31.4-0</f>
        <v>-3076.6000000000008</v>
      </c>
      <c r="R152" s="34">
        <f>71161.2+73207.7+2344-10062.3-14975</f>
        <v>121675.6</v>
      </c>
      <c r="S152" s="27">
        <f t="shared" si="3"/>
        <v>2998519.4</v>
      </c>
    </row>
    <row r="153" spans="1:19" s="23" customFormat="1" x14ac:dyDescent="0.25">
      <c r="A153" s="64">
        <v>43890</v>
      </c>
      <c r="B153" s="31">
        <f>892727.8+12475.8</f>
        <v>905203.60000000009</v>
      </c>
      <c r="C153" s="31">
        <v>518459.00000000006</v>
      </c>
      <c r="D153" s="34">
        <f>133037+16561.5</f>
        <v>149598.5</v>
      </c>
      <c r="E153" s="34">
        <f>51732+58.4</f>
        <v>51790.400000000001</v>
      </c>
      <c r="F153" s="34">
        <v>54796.600000000006</v>
      </c>
      <c r="G153" s="34">
        <v>1077.8</v>
      </c>
      <c r="H153" s="25">
        <v>4279.5</v>
      </c>
      <c r="I153" s="25">
        <v>2677.9</v>
      </c>
      <c r="J153" s="25">
        <v>472340.60000000003</v>
      </c>
      <c r="K153" s="31">
        <f>39654.6+15460.3+6067.1</f>
        <v>61181.999999999993</v>
      </c>
      <c r="L153" s="25">
        <v>31878.600000000002</v>
      </c>
      <c r="M153" s="25">
        <v>922.00000000000011</v>
      </c>
      <c r="N153" s="25">
        <v>268234.5</v>
      </c>
      <c r="O153" s="27">
        <v>293937.3</v>
      </c>
      <c r="P153" s="28">
        <v>141144.89999999997</v>
      </c>
      <c r="Q153" s="33">
        <f>29.7+13900.2+272.4+9.6-13909.6-31.4-0</f>
        <v>270.90000000000111</v>
      </c>
      <c r="R153" s="34">
        <f>74809.3+74262.8+2580.3-15460.3-12475.8</f>
        <v>123716.3</v>
      </c>
      <c r="S153" s="27">
        <f t="shared" si="3"/>
        <v>3081510.3999999994</v>
      </c>
    </row>
    <row r="154" spans="1:19" s="23" customFormat="1" x14ac:dyDescent="0.25">
      <c r="A154" s="64">
        <v>43921</v>
      </c>
      <c r="B154" s="31">
        <f>880232.3+14473</f>
        <v>894705.3</v>
      </c>
      <c r="C154" s="31">
        <v>515934.60000000003</v>
      </c>
      <c r="D154" s="34">
        <f>133805+17170.8</f>
        <v>150975.79999999999</v>
      </c>
      <c r="E154" s="34">
        <f>38896.5+58.4</f>
        <v>38954.9</v>
      </c>
      <c r="F154" s="34">
        <v>55232.2</v>
      </c>
      <c r="G154" s="34">
        <v>1138.8000000000002</v>
      </c>
      <c r="H154" s="25">
        <v>2980</v>
      </c>
      <c r="I154" s="25">
        <v>2724.3</v>
      </c>
      <c r="J154" s="25">
        <v>395365.1</v>
      </c>
      <c r="K154" s="31">
        <f>65237.4+14956.4+16693.7</f>
        <v>96887.5</v>
      </c>
      <c r="L154" s="25">
        <v>31920.1</v>
      </c>
      <c r="M154" s="25">
        <v>2013.3</v>
      </c>
      <c r="N154" s="25">
        <v>281170.60000000003</v>
      </c>
      <c r="O154" s="27">
        <v>355771</v>
      </c>
      <c r="P154" s="28">
        <v>61517.7</v>
      </c>
      <c r="Q154" s="33">
        <f>6028.1+27313.9+0+12.7-25011.2-31.4-0</f>
        <v>8312.0999999999967</v>
      </c>
      <c r="R154" s="34">
        <f>81934.8+76845+2468.1-14956.4-14473</f>
        <v>131818.5</v>
      </c>
      <c r="S154" s="27">
        <f t="shared" si="3"/>
        <v>3027421.8000000003</v>
      </c>
    </row>
    <row r="155" spans="1:19" s="23" customFormat="1" x14ac:dyDescent="0.25">
      <c r="A155" s="64">
        <v>43951</v>
      </c>
      <c r="B155" s="31">
        <f>915468.6+8560.4</f>
        <v>924029</v>
      </c>
      <c r="C155" s="31">
        <v>527890.70000000007</v>
      </c>
      <c r="D155" s="34">
        <f>137256.4+16593.2</f>
        <v>153849.60000000001</v>
      </c>
      <c r="E155" s="34">
        <f>48528+58.4</f>
        <v>48586.400000000001</v>
      </c>
      <c r="F155" s="34">
        <v>50544.399999999994</v>
      </c>
      <c r="G155" s="34">
        <v>1293.8000000000002</v>
      </c>
      <c r="H155" s="25">
        <v>2940.1000000000004</v>
      </c>
      <c r="I155" s="25">
        <v>2734.3</v>
      </c>
      <c r="J155" s="25">
        <v>433028</v>
      </c>
      <c r="K155" s="31">
        <f>45379.5+10722.4+5370</f>
        <v>61471.9</v>
      </c>
      <c r="L155" s="25">
        <v>40171.9</v>
      </c>
      <c r="M155" s="25">
        <v>906.7</v>
      </c>
      <c r="N155" s="25">
        <v>266161.90000000002</v>
      </c>
      <c r="O155" s="27">
        <v>357594.99999999994</v>
      </c>
      <c r="P155" s="28">
        <v>70295.5</v>
      </c>
      <c r="Q155" s="33">
        <f>28.1+207.7+0+328.6-503.5-31.4-208.7</f>
        <v>-179.20000000000002</v>
      </c>
      <c r="R155" s="34">
        <f>62271.6+77735.6+2182.4-10722.4-8560.4</f>
        <v>122906.80000000002</v>
      </c>
      <c r="S155" s="27">
        <f t="shared" si="3"/>
        <v>3064226.8</v>
      </c>
    </row>
    <row r="156" spans="1:19" s="23" customFormat="1" x14ac:dyDescent="0.25">
      <c r="A156" s="64">
        <v>43952</v>
      </c>
      <c r="B156" s="31">
        <f>908529.2+9658.7</f>
        <v>918187.89999999991</v>
      </c>
      <c r="C156" s="31">
        <v>535637.6</v>
      </c>
      <c r="D156" s="34">
        <f>136795.9+16730.4</f>
        <v>153526.29999999999</v>
      </c>
      <c r="E156" s="34">
        <f>48397.9+58.4</f>
        <v>48456.3</v>
      </c>
      <c r="F156" s="34">
        <v>47778.1</v>
      </c>
      <c r="G156" s="34">
        <v>1033.5</v>
      </c>
      <c r="H156" s="25">
        <v>1957.8000000000002</v>
      </c>
      <c r="I156" s="25">
        <v>2768.1</v>
      </c>
      <c r="J156" s="25">
        <v>435227.50000000006</v>
      </c>
      <c r="K156" s="31">
        <f>70943.8+11433.8+4871.8</f>
        <v>87249.400000000009</v>
      </c>
      <c r="L156" s="25">
        <v>38575.5</v>
      </c>
      <c r="M156" s="25">
        <v>2046.2</v>
      </c>
      <c r="N156" s="25">
        <v>285542.30000000005</v>
      </c>
      <c r="O156" s="27">
        <v>357758.39999999997</v>
      </c>
      <c r="P156" s="28">
        <v>79429</v>
      </c>
      <c r="Q156" s="33">
        <f>27.6+7475.4+393.7-9004.9-31.4-0</f>
        <v>-1139.5999999999999</v>
      </c>
      <c r="R156" s="34">
        <f>69443.1+78453.9+2144-11433.8-9658.7</f>
        <v>128948.50000000001</v>
      </c>
      <c r="S156" s="27">
        <f t="shared" si="3"/>
        <v>3122982.8000000007</v>
      </c>
    </row>
    <row r="157" spans="1:19" s="23" customFormat="1" x14ac:dyDescent="0.25">
      <c r="A157" s="64">
        <v>44012</v>
      </c>
      <c r="B157" s="31">
        <f>977338.4+22228</f>
        <v>999566.4</v>
      </c>
      <c r="C157" s="31">
        <v>544257.6</v>
      </c>
      <c r="D157" s="34">
        <f>140066.8+18516.8</f>
        <v>158583.59999999998</v>
      </c>
      <c r="E157" s="34">
        <f>38666.5+58.4</f>
        <v>38724.9</v>
      </c>
      <c r="F157" s="34">
        <v>48625.599999999999</v>
      </c>
      <c r="G157" s="34">
        <v>965.4</v>
      </c>
      <c r="H157" s="25">
        <v>12187.100000000002</v>
      </c>
      <c r="I157" s="25">
        <v>2374.9</v>
      </c>
      <c r="J157" s="25">
        <v>411333</v>
      </c>
      <c r="K157" s="31">
        <f>39095.6+11963.7+12321.6</f>
        <v>63380.9</v>
      </c>
      <c r="L157" s="25">
        <v>28888.899999999998</v>
      </c>
      <c r="M157" s="25">
        <v>1210.8999999999999</v>
      </c>
      <c r="N157" s="25">
        <v>277077.40000000002</v>
      </c>
      <c r="O157" s="27">
        <v>358684.4</v>
      </c>
      <c r="P157" s="28">
        <v>90832.3</v>
      </c>
      <c r="Q157" s="33">
        <f>11.8+2922.5+563.6-2529.2-31.4-15.9</f>
        <v>921.40000000000032</v>
      </c>
      <c r="R157" s="34">
        <f>79835.9+79765.3+2201.1-11963.7-22228</f>
        <v>127610.6</v>
      </c>
      <c r="S157" s="27">
        <f t="shared" si="3"/>
        <v>3165225.2999999993</v>
      </c>
    </row>
    <row r="158" spans="1:19" s="23" customFormat="1" x14ac:dyDescent="0.25">
      <c r="A158" s="64">
        <v>44043</v>
      </c>
      <c r="B158" s="31">
        <f>951734.9+13911.4</f>
        <v>965646.3</v>
      </c>
      <c r="C158" s="31">
        <v>595768.19999999995</v>
      </c>
      <c r="D158" s="34">
        <f>149833.7+16804.7</f>
        <v>166638.40000000002</v>
      </c>
      <c r="E158" s="34">
        <f>34998.2+58.4</f>
        <v>35056.6</v>
      </c>
      <c r="F158" s="34">
        <v>49373.5</v>
      </c>
      <c r="G158" s="34">
        <v>918.40000000000009</v>
      </c>
      <c r="H158" s="25">
        <v>4915.0999999999995</v>
      </c>
      <c r="I158" s="25">
        <v>1791.5</v>
      </c>
      <c r="J158" s="25">
        <v>414781.3</v>
      </c>
      <c r="K158" s="31">
        <f>53088.6+12001+8350.1</f>
        <v>73439.7</v>
      </c>
      <c r="L158" s="25">
        <v>33471.1</v>
      </c>
      <c r="M158" s="25">
        <v>1187.0999999999999</v>
      </c>
      <c r="N158" s="25">
        <v>279283.7</v>
      </c>
      <c r="O158" s="27">
        <v>357981.4</v>
      </c>
      <c r="P158" s="28">
        <v>107807</v>
      </c>
      <c r="Q158" s="33">
        <f>7.3+16485.9+851.6-10003.6-31.4-242.1</f>
        <v>7067.6999999999989</v>
      </c>
      <c r="R158" s="34">
        <f>71615.7+81342.5+2448.4-12001-13911.4</f>
        <v>129494.20000000001</v>
      </c>
      <c r="S158" s="27">
        <f t="shared" si="3"/>
        <v>3224621.2000000007</v>
      </c>
    </row>
    <row r="159" spans="1:19" s="23" customFormat="1" x14ac:dyDescent="0.25">
      <c r="A159" s="64">
        <v>44074</v>
      </c>
      <c r="B159" s="31">
        <f>990021.1+14934</f>
        <v>1004955.1</v>
      </c>
      <c r="C159" s="31">
        <v>604738.80000000005</v>
      </c>
      <c r="D159" s="34">
        <f>151468.8+16898.3</f>
        <v>168367.09999999998</v>
      </c>
      <c r="E159" s="34">
        <f>32336.5+58.4</f>
        <v>32394.9</v>
      </c>
      <c r="F159" s="34">
        <v>43572.899999999994</v>
      </c>
      <c r="G159" s="34">
        <v>953.20000000000016</v>
      </c>
      <c r="H159" s="25">
        <v>3871.8000000000006</v>
      </c>
      <c r="I159" s="25">
        <v>0</v>
      </c>
      <c r="J159" s="25">
        <v>454791.89999999997</v>
      </c>
      <c r="K159" s="31">
        <f>36104.1+12869.6+3777.4</f>
        <v>52751.1</v>
      </c>
      <c r="L159" s="25">
        <v>33518.099999999991</v>
      </c>
      <c r="M159" s="25">
        <v>1203.4000000000001</v>
      </c>
      <c r="N159" s="25">
        <v>263229.29999999993</v>
      </c>
      <c r="O159" s="27">
        <v>358842.89999999997</v>
      </c>
      <c r="P159" s="28">
        <v>119072.00000000001</v>
      </c>
      <c r="Q159" s="33">
        <f>6.5+9989.1+871.1-3753.8-31.4-0</f>
        <v>7081.5000000000009</v>
      </c>
      <c r="R159" s="34">
        <f>76331.1+83467.9+2393.2-12869.6-14934</f>
        <v>134388.6</v>
      </c>
      <c r="S159" s="27">
        <f t="shared" si="3"/>
        <v>3283732.5999999996</v>
      </c>
    </row>
    <row r="160" spans="1:19" s="23" customFormat="1" x14ac:dyDescent="0.25">
      <c r="A160" s="64">
        <v>44104</v>
      </c>
      <c r="B160" s="31">
        <f>1087600.6+17969.8</f>
        <v>1105570.4000000001</v>
      </c>
      <c r="C160" s="31">
        <f>574223.4+118.2+2167+21378.5+5392.5</f>
        <v>603279.6</v>
      </c>
      <c r="D160" s="34">
        <f>155734.1+13918+39.8+1487.6+1283.3</f>
        <v>172462.8</v>
      </c>
      <c r="E160" s="34">
        <f>34287.7+58.4</f>
        <v>34346.1</v>
      </c>
      <c r="F160" s="34">
        <v>38828.9</v>
      </c>
      <c r="G160" s="34">
        <v>845.40000000000009</v>
      </c>
      <c r="H160" s="25">
        <v>3097.2999999999997</v>
      </c>
      <c r="I160" s="25">
        <v>3666.3</v>
      </c>
      <c r="J160" s="25">
        <v>360531.8</v>
      </c>
      <c r="K160" s="31">
        <f>40194.7+13712.3+18796.8+66</f>
        <v>72769.8</v>
      </c>
      <c r="L160" s="25">
        <v>16865.2</v>
      </c>
      <c r="M160" s="25">
        <f>8692.2+17902.1</f>
        <v>26594.3</v>
      </c>
      <c r="N160" s="25">
        <f>289503.6+550+195.5</f>
        <v>290249.09999999998</v>
      </c>
      <c r="O160" s="27">
        <v>373196.39999999997</v>
      </c>
      <c r="P160" s="28">
        <v>132637.1</v>
      </c>
      <c r="Q160" s="33">
        <f>45.3+2.1+884.1-43.7-31.4-0</f>
        <v>856.4</v>
      </c>
      <c r="R160" s="34">
        <f>85068.9+84622.2+2137.4-13712.3-17969.8</f>
        <v>140146.4</v>
      </c>
      <c r="S160" s="27">
        <f t="shared" si="3"/>
        <v>3375943.3</v>
      </c>
    </row>
    <row r="161" spans="1:19" s="23" customFormat="1" x14ac:dyDescent="0.25">
      <c r="A161" s="64">
        <v>44135</v>
      </c>
      <c r="B161" s="31">
        <f>1073574.8+19256.1</f>
        <v>1092830.9000000001</v>
      </c>
      <c r="C161" s="31">
        <f>589405.9+118.2+2182.1+22632.4+5319.8</f>
        <v>619658.4</v>
      </c>
      <c r="D161" s="34">
        <f>155958.2+15616.7+68.8+2584.4+190.7</f>
        <v>174418.80000000002</v>
      </c>
      <c r="E161" s="34">
        <f>41615.7+58.4</f>
        <v>41674.1</v>
      </c>
      <c r="F161" s="34">
        <v>41701</v>
      </c>
      <c r="G161" s="34">
        <v>889.3</v>
      </c>
      <c r="H161" s="25">
        <v>2958.5</v>
      </c>
      <c r="I161" s="25">
        <f>0+3660.2</f>
        <v>3660.2</v>
      </c>
      <c r="J161" s="25">
        <v>325327.8</v>
      </c>
      <c r="K161" s="31">
        <f>38061+14067.3+4078.3+66</f>
        <v>56272.600000000006</v>
      </c>
      <c r="L161" s="25">
        <v>26422.3</v>
      </c>
      <c r="M161" s="25">
        <f>8683.3+17947.8</f>
        <v>26631.1</v>
      </c>
      <c r="N161" s="25">
        <f>303443+558.9+72.7</f>
        <v>304074.60000000003</v>
      </c>
      <c r="O161" s="27">
        <v>373149.7</v>
      </c>
      <c r="P161" s="28">
        <v>143089.90000000002</v>
      </c>
      <c r="Q161" s="33">
        <f>819.8+24663+801.7-23994.9-31.4-95</f>
        <v>2163.1999999999985</v>
      </c>
      <c r="R161" s="34">
        <f>84483+80490.5+2466.6-14067.3-19256.1</f>
        <v>134116.70000000001</v>
      </c>
      <c r="S161" s="27">
        <f t="shared" si="3"/>
        <v>3369039.100000001</v>
      </c>
    </row>
    <row r="162" spans="1:19" s="23" customFormat="1" x14ac:dyDescent="0.25">
      <c r="A162" s="64">
        <v>44165</v>
      </c>
      <c r="B162" s="31">
        <f>1098173.6+22237.5</f>
        <v>1120411.1000000001</v>
      </c>
      <c r="C162" s="31">
        <f>598457.1+118.2+2139.8+21280.5+5252.5</f>
        <v>627248.1</v>
      </c>
      <c r="D162" s="34">
        <f>157437.2+14397+69.9+2561.2+241.4</f>
        <v>174706.7</v>
      </c>
      <c r="E162" s="34">
        <f>45966.5+58.4</f>
        <v>46024.9</v>
      </c>
      <c r="F162" s="34">
        <v>39951.1</v>
      </c>
      <c r="G162" s="34">
        <v>774.00000000000011</v>
      </c>
      <c r="H162" s="25">
        <v>4531.3999999999996</v>
      </c>
      <c r="I162" s="25">
        <f>6000.3+3664.8</f>
        <v>9665.1</v>
      </c>
      <c r="J162" s="25">
        <v>318574.8</v>
      </c>
      <c r="K162" s="31">
        <f>42394.6+14836.2+4903.4+66</f>
        <v>62200.200000000004</v>
      </c>
      <c r="L162" s="25">
        <v>19618.599999999999</v>
      </c>
      <c r="M162" s="25">
        <f>8905.8+8826.6</f>
        <v>17732.400000000001</v>
      </c>
      <c r="N162" s="25">
        <f>322797.5+562.6+74.6</f>
        <v>323434.69999999995</v>
      </c>
      <c r="O162" s="27">
        <v>373229.09999999992</v>
      </c>
      <c r="P162" s="28">
        <v>151983.99999999997</v>
      </c>
      <c r="Q162" s="33">
        <f>84.8+12000+875+1.4-8349.5-31.4-0</f>
        <v>4580.2999999999993</v>
      </c>
      <c r="R162" s="34">
        <f>88268.9+80032+3732.5-14836.2-22237.5</f>
        <v>134959.69999999998</v>
      </c>
      <c r="S162" s="27">
        <f t="shared" si="3"/>
        <v>3429626.2000000007</v>
      </c>
    </row>
    <row r="163" spans="1:19" s="23" customFormat="1" ht="15" customHeight="1" x14ac:dyDescent="0.25">
      <c r="A163" s="64">
        <v>44196</v>
      </c>
      <c r="B163" s="31">
        <f>1127406.1+14327.1</f>
        <v>1141733.2000000002</v>
      </c>
      <c r="C163" s="31">
        <f>612431.2+3166.9+2942.3+21501.2+5260.4</f>
        <v>645302</v>
      </c>
      <c r="D163" s="34">
        <f>158492+13303+71.2+7277+232.4</f>
        <v>179375.6</v>
      </c>
      <c r="E163" s="34">
        <f>87099.3+58.4</f>
        <v>87157.7</v>
      </c>
      <c r="F163" s="34">
        <v>44679.6</v>
      </c>
      <c r="G163" s="34">
        <v>899.49999999999989</v>
      </c>
      <c r="H163" s="25">
        <v>3485.6</v>
      </c>
      <c r="I163" s="25">
        <f>0+3667.1</f>
        <v>3667.1</v>
      </c>
      <c r="J163" s="25">
        <v>296859.40000000008</v>
      </c>
      <c r="K163" s="31">
        <f>53343.2+20079.5+26571.3+66</f>
        <v>100060</v>
      </c>
      <c r="L163" s="25">
        <v>22821.599999999999</v>
      </c>
      <c r="M163" s="25">
        <f>13386.5+0</f>
        <v>13386.5</v>
      </c>
      <c r="N163" s="25">
        <f>307050.9+560.2+76.7</f>
        <v>307687.80000000005</v>
      </c>
      <c r="O163" s="27">
        <v>375585</v>
      </c>
      <c r="P163" s="28">
        <v>158256</v>
      </c>
      <c r="Q163" s="33">
        <f>84.4+2023.3+600.1+0-2083.8-31.4-0</f>
        <v>592.59999999999957</v>
      </c>
      <c r="R163" s="34">
        <f>85368.1+75821.6+2271.8-20079.5-14327.1</f>
        <v>129054.9</v>
      </c>
      <c r="S163" s="27">
        <f t="shared" si="3"/>
        <v>3510604.1000000006</v>
      </c>
    </row>
    <row r="164" spans="1:19" s="23" customFormat="1" x14ac:dyDescent="0.25">
      <c r="A164" s="64">
        <v>44227</v>
      </c>
      <c r="B164" s="31">
        <f>1156864.7+22078.1</f>
        <v>1178942.8</v>
      </c>
      <c r="C164" s="31">
        <f>611565.3+3166.9+3279.2+21221.8+5393.1</f>
        <v>644626.30000000005</v>
      </c>
      <c r="D164" s="34">
        <f>163496.6+14284.4+70.7+2631.5+232.8</f>
        <v>180716</v>
      </c>
      <c r="E164" s="34">
        <f>62265.2+58.4</f>
        <v>62323.6</v>
      </c>
      <c r="F164" s="34">
        <v>48993.5</v>
      </c>
      <c r="G164" s="34">
        <v>836.00000000000011</v>
      </c>
      <c r="H164" s="25">
        <v>3073.7</v>
      </c>
      <c r="I164" s="25">
        <f>0+3458.8</f>
        <v>3458.8</v>
      </c>
      <c r="J164" s="25">
        <v>299135.7</v>
      </c>
      <c r="K164" s="31">
        <f>52942.4+17532.6+10064.4+66</f>
        <v>80605.399999999994</v>
      </c>
      <c r="L164" s="25">
        <v>29471.5</v>
      </c>
      <c r="M164" s="25">
        <f>12980.9+3483.9</f>
        <v>16464.8</v>
      </c>
      <c r="N164" s="25">
        <f>338899.1+561.3+75.7</f>
        <v>339536.1</v>
      </c>
      <c r="O164" s="27">
        <v>381978.39999999997</v>
      </c>
      <c r="P164" s="28">
        <v>167858.40000000002</v>
      </c>
      <c r="Q164" s="33">
        <f>260.8+13036.1+666.2+0-7257.9-31.4-8000</f>
        <v>-1326.1999999999989</v>
      </c>
      <c r="R164" s="34">
        <f>92750+76211.7+2857-17532.6-22078.1</f>
        <v>132208</v>
      </c>
      <c r="S164" s="27">
        <f t="shared" si="3"/>
        <v>3568902.8</v>
      </c>
    </row>
    <row r="165" spans="1:19" s="23" customFormat="1" x14ac:dyDescent="0.25">
      <c r="A165" s="64">
        <v>44255</v>
      </c>
      <c r="B165" s="31">
        <f>1186153.3+20096.1</f>
        <v>1206249.4000000001</v>
      </c>
      <c r="C165" s="31">
        <f>630989.3+3166.9+3382.7+23513.2+5439.7</f>
        <v>666491.79999999993</v>
      </c>
      <c r="D165" s="34">
        <f>163269.2+15782.8+71+4599.2+233</f>
        <v>183955.20000000001</v>
      </c>
      <c r="E165" s="34">
        <f>58382.2+58.4</f>
        <v>58440.6</v>
      </c>
      <c r="F165" s="34">
        <v>49556.6</v>
      </c>
      <c r="G165" s="34">
        <v>1021.4</v>
      </c>
      <c r="H165" s="25">
        <v>3603.9</v>
      </c>
      <c r="I165" s="25">
        <f>0+3460.1</f>
        <v>3460.1</v>
      </c>
      <c r="J165" s="25">
        <v>293901.2</v>
      </c>
      <c r="K165" s="31">
        <f>49096.2+15275.7+8633.5+33.5</f>
        <v>73038.899999999994</v>
      </c>
      <c r="L165" s="25">
        <v>29101.7</v>
      </c>
      <c r="M165" s="25">
        <f>25902+19081.4</f>
        <v>44983.4</v>
      </c>
      <c r="N165" s="25">
        <f>328359.3+559+75.7</f>
        <v>328994</v>
      </c>
      <c r="O165" s="27">
        <v>382766.29999999993</v>
      </c>
      <c r="P165" s="28">
        <v>177366.7</v>
      </c>
      <c r="Q165" s="33">
        <f>83.8+8088.2+1133.8+0-8083.7-31.4-0</f>
        <v>1190.6999999999994</v>
      </c>
      <c r="R165" s="34">
        <f>89761.7+76663.7+4368.6-15275.7-20096.1</f>
        <v>135422.19999999998</v>
      </c>
      <c r="S165" s="27">
        <f t="shared" si="3"/>
        <v>3639544.1000000006</v>
      </c>
    </row>
    <row r="166" spans="1:19" s="23" customFormat="1" x14ac:dyDescent="0.25">
      <c r="A166" s="64">
        <v>44286</v>
      </c>
      <c r="B166" s="31">
        <f>1179405.1+22815.2</f>
        <v>1202220.3</v>
      </c>
      <c r="C166" s="31">
        <f>649243.4+3077.3+2269.7+24359.6+5525.5</f>
        <v>684475.5</v>
      </c>
      <c r="D166" s="34">
        <f>169012.1+16489.4+29.4+2310.8+367.2</f>
        <v>188208.9</v>
      </c>
      <c r="E166" s="34">
        <f>72990.8+58.4</f>
        <v>73049.2</v>
      </c>
      <c r="F166" s="34">
        <v>52828.2</v>
      </c>
      <c r="G166" s="34">
        <v>897.49999999999989</v>
      </c>
      <c r="H166" s="25">
        <v>3049.4</v>
      </c>
      <c r="I166" s="25">
        <v>3000.6</v>
      </c>
      <c r="J166" s="25">
        <v>286862.39999999997</v>
      </c>
      <c r="K166" s="31">
        <f>61106.5+15244.8+22791.8+34</f>
        <v>99177.1</v>
      </c>
      <c r="L166" s="25">
        <v>28206.799999999996</v>
      </c>
      <c r="M166" s="25">
        <f>1065.5+21080.2</f>
        <v>22145.7</v>
      </c>
      <c r="N166" s="25">
        <f>318141.6+563.7+73.8</f>
        <v>318779.09999999998</v>
      </c>
      <c r="O166" s="27">
        <v>450473</v>
      </c>
      <c r="P166" s="28">
        <v>90171.300000000017</v>
      </c>
      <c r="Q166" s="33">
        <f>19.3+18932.8+1378.7+0+96.3-16822.7-31.4-0</f>
        <v>3572.9999999999977</v>
      </c>
      <c r="R166" s="34">
        <f>93769.6+77293.7+3533.4-15244.8-22815.2</f>
        <v>136536.69999999998</v>
      </c>
      <c r="S166" s="27">
        <f t="shared" si="3"/>
        <v>3643654.7</v>
      </c>
    </row>
    <row r="167" spans="1:19" s="23" customFormat="1" x14ac:dyDescent="0.25">
      <c r="A167" s="64" t="s">
        <v>3</v>
      </c>
      <c r="B167" s="31"/>
      <c r="C167" s="31"/>
      <c r="D167" s="34"/>
      <c r="E167" s="34"/>
      <c r="F167" s="34"/>
      <c r="G167" s="34"/>
      <c r="H167" s="25"/>
      <c r="I167" s="25"/>
      <c r="J167" s="25"/>
      <c r="K167" s="31"/>
      <c r="L167" s="25"/>
      <c r="M167" s="25"/>
      <c r="N167" s="25"/>
      <c r="O167" s="27"/>
      <c r="P167" s="28"/>
      <c r="Q167" s="33"/>
      <c r="R167" s="34"/>
      <c r="S167" s="27"/>
    </row>
    <row r="168" spans="1:19" s="23" customFormat="1" x14ac:dyDescent="0.25">
      <c r="O168" s="35"/>
      <c r="P168" s="35"/>
      <c r="Q168" s="36"/>
      <c r="R168" s="35"/>
      <c r="S168" s="35"/>
    </row>
    <row r="170" spans="1:19" x14ac:dyDescent="0.25">
      <c r="B170" s="10"/>
      <c r="C170" s="10"/>
      <c r="D170" s="10"/>
    </row>
    <row r="171" spans="1:19" x14ac:dyDescent="0.25">
      <c r="B171" s="10"/>
      <c r="C171" s="10"/>
      <c r="D171" s="10"/>
    </row>
    <row r="172" spans="1:19" x14ac:dyDescent="0.25">
      <c r="B172" s="10"/>
      <c r="C172" s="10"/>
      <c r="D172" s="10"/>
    </row>
    <row r="173" spans="1:19" x14ac:dyDescent="0.25">
      <c r="B173" s="10"/>
      <c r="C173" s="10"/>
      <c r="D173" s="10"/>
    </row>
    <row r="174" spans="1:19" x14ac:dyDescent="0.25">
      <c r="B174" s="10"/>
      <c r="C174" s="10"/>
      <c r="D174" s="10"/>
    </row>
    <row r="175" spans="1:19" x14ac:dyDescent="0.25">
      <c r="B175" s="10"/>
      <c r="C175" s="10"/>
      <c r="D175" s="10"/>
    </row>
    <row r="176" spans="1:19" x14ac:dyDescent="0.25">
      <c r="B176" s="10"/>
      <c r="C176" s="10"/>
      <c r="D176" s="10"/>
    </row>
    <row r="177" spans="2:4" x14ac:dyDescent="0.25">
      <c r="B177" s="10"/>
      <c r="C177" s="10"/>
      <c r="D177" s="10"/>
    </row>
    <row r="178" spans="2:4" x14ac:dyDescent="0.25">
      <c r="B178" s="10"/>
      <c r="C178" s="10"/>
      <c r="D178" s="10"/>
    </row>
    <row r="179" spans="2:4" x14ac:dyDescent="0.25">
      <c r="B179" s="10"/>
      <c r="C179" s="10"/>
      <c r="D179" s="10"/>
    </row>
    <row r="180" spans="2:4" x14ac:dyDescent="0.25">
      <c r="B180" s="10"/>
      <c r="C180" s="10"/>
      <c r="D180" s="10"/>
    </row>
    <row r="181" spans="2:4" x14ac:dyDescent="0.25">
      <c r="B181" s="10"/>
      <c r="C181" s="10"/>
      <c r="D181" s="10"/>
    </row>
    <row r="182" spans="2:4" x14ac:dyDescent="0.25">
      <c r="B182" s="10"/>
      <c r="C182" s="10"/>
      <c r="D182" s="10"/>
    </row>
    <row r="183" spans="2:4" x14ac:dyDescent="0.25">
      <c r="B183" s="10"/>
      <c r="C183" s="10"/>
      <c r="D183" s="10"/>
    </row>
  </sheetData>
  <mergeCells count="18">
    <mergeCell ref="N6:N7"/>
    <mergeCell ref="O6:O7"/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3"/>
  <sheetViews>
    <sheetView workbookViewId="0">
      <pane xSplit="1" ySplit="7" topLeftCell="R53" activePane="bottomRight" state="frozen"/>
      <selection pane="topRight" activeCell="B1" sqref="B1"/>
      <selection pane="bottomLeft" activeCell="A8" sqref="A8"/>
      <selection pane="bottomRight" activeCell="R62" sqref="R62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0" t="s">
        <v>4</v>
      </c>
      <c r="C6" s="72" t="s">
        <v>5</v>
      </c>
      <c r="D6" s="72" t="s">
        <v>41</v>
      </c>
      <c r="E6" s="78" t="s">
        <v>47</v>
      </c>
      <c r="F6" s="78"/>
      <c r="G6" s="78"/>
      <c r="H6" s="72" t="s">
        <v>7</v>
      </c>
      <c r="I6" s="72" t="s">
        <v>8</v>
      </c>
      <c r="J6" s="72" t="s">
        <v>9</v>
      </c>
      <c r="K6" s="72" t="s">
        <v>10</v>
      </c>
      <c r="L6" s="72" t="s">
        <v>45</v>
      </c>
      <c r="M6" s="72" t="s">
        <v>11</v>
      </c>
      <c r="N6" s="72" t="s">
        <v>42</v>
      </c>
      <c r="O6" s="72" t="s">
        <v>43</v>
      </c>
      <c r="P6" s="70" t="s">
        <v>12</v>
      </c>
      <c r="Q6" s="71" t="s">
        <v>13</v>
      </c>
      <c r="R6" s="72" t="s">
        <v>14</v>
      </c>
      <c r="S6" s="70" t="s">
        <v>15</v>
      </c>
    </row>
    <row r="7" spans="1:19" s="37" customFormat="1" ht="90" customHeight="1" x14ac:dyDescent="0.3">
      <c r="A7" s="77"/>
      <c r="B7" s="70"/>
      <c r="C7" s="72"/>
      <c r="D7" s="72"/>
      <c r="E7" s="54" t="s">
        <v>4</v>
      </c>
      <c r="F7" s="54" t="s">
        <v>5</v>
      </c>
      <c r="G7" s="54" t="s">
        <v>48</v>
      </c>
      <c r="H7" s="72"/>
      <c r="I7" s="72"/>
      <c r="J7" s="72"/>
      <c r="K7" s="72"/>
      <c r="L7" s="72"/>
      <c r="M7" s="72"/>
      <c r="N7" s="72"/>
      <c r="O7" s="72"/>
      <c r="P7" s="70"/>
      <c r="Q7" s="71"/>
      <c r="R7" s="72"/>
      <c r="S7" s="70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64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64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64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64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23" customFormat="1" x14ac:dyDescent="0.25">
      <c r="A53" s="64">
        <v>43617</v>
      </c>
      <c r="B53" s="39">
        <f>883112+35432.4</f>
        <v>918544.4</v>
      </c>
      <c r="C53" s="39">
        <v>384199</v>
      </c>
      <c r="D53" s="40">
        <f>21144.9+119745.4</f>
        <v>140890.29999999999</v>
      </c>
      <c r="E53" s="40">
        <f>33415.3+58.4</f>
        <v>33473.700000000004</v>
      </c>
      <c r="F53" s="40">
        <v>45316</v>
      </c>
      <c r="G53" s="40">
        <v>784.9</v>
      </c>
      <c r="H53" s="41">
        <v>5296.3</v>
      </c>
      <c r="I53" s="41">
        <v>4605</v>
      </c>
      <c r="J53" s="41">
        <v>334675.3</v>
      </c>
      <c r="K53" s="39">
        <f>29603.4+9328.2+40739.2</f>
        <v>79670.8</v>
      </c>
      <c r="L53" s="41">
        <v>23651.200000000001</v>
      </c>
      <c r="M53" s="41">
        <v>807.1</v>
      </c>
      <c r="N53" s="41">
        <v>199660</v>
      </c>
      <c r="O53" s="42">
        <v>279968.5</v>
      </c>
      <c r="P53" s="43">
        <v>64021.4</v>
      </c>
      <c r="Q53" s="44">
        <f>165.2+2000.8-381.5-2003.6-31.4-3.5</f>
        <v>-253.99999999999991</v>
      </c>
      <c r="R53" s="40">
        <f>86888.9+93900.6+1980.8-9328.2-35432.4</f>
        <v>138009.69999999998</v>
      </c>
      <c r="S53" s="27">
        <f t="shared" ref="S53" si="4">SUM(B53:R53)</f>
        <v>2653319.6</v>
      </c>
    </row>
    <row r="54" spans="1:19" s="23" customFormat="1" x14ac:dyDescent="0.25">
      <c r="A54" s="64">
        <v>43738</v>
      </c>
      <c r="B54" s="31">
        <f>940224.1+11001.8</f>
        <v>951225.9</v>
      </c>
      <c r="C54" s="31">
        <v>377943.99999999994</v>
      </c>
      <c r="D54" s="34">
        <f>20172.8+125072</f>
        <v>145244.79999999999</v>
      </c>
      <c r="E54" s="34">
        <f>33907.9+58.4</f>
        <v>33966.300000000003</v>
      </c>
      <c r="F54" s="34">
        <v>37680.5</v>
      </c>
      <c r="G54" s="34">
        <v>1051.9999999999998</v>
      </c>
      <c r="H54" s="25">
        <v>4654.6000000000004</v>
      </c>
      <c r="I54" s="25">
        <v>4591.7</v>
      </c>
      <c r="J54" s="25">
        <v>393162.60000000003</v>
      </c>
      <c r="K54" s="31">
        <f>19187.6+11457.2+41442</f>
        <v>72086.8</v>
      </c>
      <c r="L54" s="25">
        <v>20434.300000000003</v>
      </c>
      <c r="M54" s="25">
        <v>843.9</v>
      </c>
      <c r="N54" s="25">
        <v>223096</v>
      </c>
      <c r="O54" s="27">
        <v>282742.8</v>
      </c>
      <c r="P54" s="28">
        <v>96432.3</v>
      </c>
      <c r="Q54" s="33">
        <f>4759.4+0+24.3-6253.7-31.4-0.1</f>
        <v>-1501.5</v>
      </c>
      <c r="R54" s="34">
        <f>67293.7+94223.8+2985.9-11457.2-11001.8</f>
        <v>142044.4</v>
      </c>
      <c r="S54" s="27">
        <f t="shared" ref="S54" si="5">SUM(B54:R54)</f>
        <v>2785701.4</v>
      </c>
    </row>
    <row r="55" spans="1:19" s="23" customFormat="1" x14ac:dyDescent="0.25">
      <c r="A55" s="64">
        <v>43800</v>
      </c>
      <c r="B55" s="31">
        <v>889356.69999999984</v>
      </c>
      <c r="C55" s="31">
        <v>497195.6</v>
      </c>
      <c r="D55" s="34">
        <v>147319.79999999999</v>
      </c>
      <c r="E55" s="34">
        <f>42949.2+58.4</f>
        <v>43007.6</v>
      </c>
      <c r="F55" s="34">
        <v>52965.500000000007</v>
      </c>
      <c r="G55" s="34">
        <v>1109.6999999999998</v>
      </c>
      <c r="H55" s="25">
        <v>5917.9</v>
      </c>
      <c r="I55" s="25">
        <v>4674.6000000000004</v>
      </c>
      <c r="J55" s="25">
        <v>427469.4</v>
      </c>
      <c r="K55" s="31">
        <v>82888.800000000003</v>
      </c>
      <c r="L55" s="25">
        <v>32600.300000000003</v>
      </c>
      <c r="M55" s="25">
        <v>927.60000000000014</v>
      </c>
      <c r="N55" s="25">
        <v>216615.89999999997</v>
      </c>
      <c r="O55" s="27">
        <v>291528.80000000005</v>
      </c>
      <c r="P55" s="28">
        <v>120578.99999999999</v>
      </c>
      <c r="Q55" s="33">
        <f>79.8+10119.5-13.2-15220.2-31.4-0</f>
        <v>-5065.5000000000018</v>
      </c>
      <c r="R55" s="34">
        <f>72539.8+74054.3+1953-16514.7-8349.2</f>
        <v>123683.2</v>
      </c>
      <c r="S55" s="27">
        <f t="shared" ref="S55" si="6">SUM(B55:R55)</f>
        <v>2932774.8999999994</v>
      </c>
    </row>
    <row r="56" spans="1:19" s="23" customFormat="1" x14ac:dyDescent="0.25">
      <c r="A56" s="64">
        <v>43921</v>
      </c>
      <c r="B56" s="31">
        <f>880232.3+14473</f>
        <v>894705.3</v>
      </c>
      <c r="C56" s="31">
        <v>515934.60000000003</v>
      </c>
      <c r="D56" s="34">
        <f>133805+17170.8</f>
        <v>150975.79999999999</v>
      </c>
      <c r="E56" s="34">
        <f>38896.5+58.4</f>
        <v>38954.9</v>
      </c>
      <c r="F56" s="34">
        <v>55232.2</v>
      </c>
      <c r="G56" s="34">
        <v>1138.8000000000002</v>
      </c>
      <c r="H56" s="25">
        <v>2980</v>
      </c>
      <c r="I56" s="25">
        <v>2724.3</v>
      </c>
      <c r="J56" s="25">
        <v>395365.1</v>
      </c>
      <c r="K56" s="31">
        <f>65237.4+14956.4+16693.7</f>
        <v>96887.5</v>
      </c>
      <c r="L56" s="25">
        <v>31920.1</v>
      </c>
      <c r="M56" s="25">
        <v>2013.3</v>
      </c>
      <c r="N56" s="25">
        <v>281170.60000000003</v>
      </c>
      <c r="O56" s="27">
        <v>355771</v>
      </c>
      <c r="P56" s="28">
        <v>61517.7</v>
      </c>
      <c r="Q56" s="33">
        <f>6028.1+27313.9+0+12.7-25011.2-31.4-0</f>
        <v>8312.0999999999967</v>
      </c>
      <c r="R56" s="34">
        <f>81934.8+76845+2468.1-14956.4-14473</f>
        <v>131818.5</v>
      </c>
      <c r="S56" s="27">
        <f t="shared" ref="S56" si="7">SUM(B56:R56)</f>
        <v>3027421.8000000003</v>
      </c>
    </row>
    <row r="57" spans="1:19" s="23" customFormat="1" x14ac:dyDescent="0.25">
      <c r="A57" s="64">
        <v>44012</v>
      </c>
      <c r="B57" s="31">
        <f>977338.4+22228</f>
        <v>999566.4</v>
      </c>
      <c r="C57" s="31">
        <v>544257.6</v>
      </c>
      <c r="D57" s="34">
        <f>140066.8+18516.8</f>
        <v>158583.59999999998</v>
      </c>
      <c r="E57" s="34">
        <f>38666.5+58.4</f>
        <v>38724.9</v>
      </c>
      <c r="F57" s="34">
        <v>48625.599999999999</v>
      </c>
      <c r="G57" s="34">
        <v>965.4</v>
      </c>
      <c r="H57" s="25">
        <v>12187.100000000002</v>
      </c>
      <c r="I57" s="25">
        <v>2374.9</v>
      </c>
      <c r="J57" s="25">
        <v>411333</v>
      </c>
      <c r="K57" s="31">
        <f>39095.6+11963.7+12321.6</f>
        <v>63380.9</v>
      </c>
      <c r="L57" s="25">
        <v>28888.899999999998</v>
      </c>
      <c r="M57" s="25">
        <v>1210.8999999999999</v>
      </c>
      <c r="N57" s="25">
        <v>277077.40000000002</v>
      </c>
      <c r="O57" s="27">
        <v>358684.4</v>
      </c>
      <c r="P57" s="28">
        <v>90832.3</v>
      </c>
      <c r="Q57" s="33">
        <f>11.8+2922.5+563.6-2529.2-31.4-15.9</f>
        <v>921.40000000000032</v>
      </c>
      <c r="R57" s="34">
        <f>79835.9+79765.3+2201.1-11963.7-22228</f>
        <v>127610.6</v>
      </c>
      <c r="S57" s="27">
        <f t="shared" ref="S57" si="8">SUM(B57:R57)</f>
        <v>3165225.2999999993</v>
      </c>
    </row>
    <row r="58" spans="1:19" s="23" customFormat="1" x14ac:dyDescent="0.25">
      <c r="A58" s="64">
        <v>44104</v>
      </c>
      <c r="B58" s="31">
        <f>1087600.6+17969.8</f>
        <v>1105570.4000000001</v>
      </c>
      <c r="C58" s="31">
        <f>574223.4+118.2+2167+21378.5+5392.5</f>
        <v>603279.6</v>
      </c>
      <c r="D58" s="34">
        <f>155734.1+13918+39.8+1487.6+1283.3</f>
        <v>172462.8</v>
      </c>
      <c r="E58" s="34">
        <f>34287.7+58.4</f>
        <v>34346.1</v>
      </c>
      <c r="F58" s="34">
        <v>38828.9</v>
      </c>
      <c r="G58" s="34">
        <v>845.40000000000009</v>
      </c>
      <c r="H58" s="25">
        <v>3097.2999999999997</v>
      </c>
      <c r="I58" s="25">
        <v>3666.3</v>
      </c>
      <c r="J58" s="25">
        <v>360531.8</v>
      </c>
      <c r="K58" s="31">
        <f>40194.7+13712.3+18796.8+66</f>
        <v>72769.8</v>
      </c>
      <c r="L58" s="25">
        <v>16865.2</v>
      </c>
      <c r="M58" s="25">
        <f>8692.2+17902.1</f>
        <v>26594.3</v>
      </c>
      <c r="N58" s="25">
        <f>289503.6+550+195.5</f>
        <v>290249.09999999998</v>
      </c>
      <c r="O58" s="27">
        <v>373196.39999999997</v>
      </c>
      <c r="P58" s="28">
        <v>132637.1</v>
      </c>
      <c r="Q58" s="33">
        <f>45.3+2.1+884.1-43.7-31.4-0</f>
        <v>856.4</v>
      </c>
      <c r="R58" s="34">
        <f>85068.9+84622.2+2137.4-13712.3-17969.8</f>
        <v>140146.4</v>
      </c>
      <c r="S58" s="27">
        <f t="shared" ref="S58" si="9">SUM(B58:R58)</f>
        <v>3375943.3</v>
      </c>
    </row>
    <row r="59" spans="1:19" s="23" customFormat="1" ht="15" customHeight="1" x14ac:dyDescent="0.25">
      <c r="A59" s="64">
        <v>44196</v>
      </c>
      <c r="B59" s="31">
        <f>1127406.1+14327.1</f>
        <v>1141733.2000000002</v>
      </c>
      <c r="C59" s="31">
        <f>612431.2+3166.9+2942.3+21501.2+5260.4</f>
        <v>645302</v>
      </c>
      <c r="D59" s="34">
        <f>158492+13303+71.2+7277+232.4</f>
        <v>179375.6</v>
      </c>
      <c r="E59" s="34">
        <f>87099.3+58.4</f>
        <v>87157.7</v>
      </c>
      <c r="F59" s="34">
        <v>44679.6</v>
      </c>
      <c r="G59" s="34">
        <v>899.49999999999989</v>
      </c>
      <c r="H59" s="25">
        <v>3485.6</v>
      </c>
      <c r="I59" s="25">
        <f>0+3667.1</f>
        <v>3667.1</v>
      </c>
      <c r="J59" s="25">
        <v>296859.40000000008</v>
      </c>
      <c r="K59" s="31">
        <f>53343.2+20079.5+26571.3+66</f>
        <v>100060</v>
      </c>
      <c r="L59" s="25">
        <v>22821.599999999999</v>
      </c>
      <c r="M59" s="25">
        <f>13386.5+0</f>
        <v>13386.5</v>
      </c>
      <c r="N59" s="25">
        <f>307050.9+560.2+76.7</f>
        <v>307687.80000000005</v>
      </c>
      <c r="O59" s="27">
        <v>375585</v>
      </c>
      <c r="P59" s="28">
        <v>158256</v>
      </c>
      <c r="Q59" s="33">
        <f>84.4+2023.3+600.1+0-2083.8-31.4-0</f>
        <v>592.59999999999957</v>
      </c>
      <c r="R59" s="34">
        <f>85368.1+75821.6+2271.8-20079.5-14327.1</f>
        <v>129054.9</v>
      </c>
      <c r="S59" s="27">
        <f t="shared" ref="S59:S60" si="10">SUM(B59:R59)</f>
        <v>3510604.1000000006</v>
      </c>
    </row>
    <row r="60" spans="1:19" s="23" customFormat="1" x14ac:dyDescent="0.25">
      <c r="A60" s="64">
        <v>44286</v>
      </c>
      <c r="B60" s="31">
        <f>1179405.1+22815.2</f>
        <v>1202220.3</v>
      </c>
      <c r="C60" s="31">
        <f>649243.4+3077.3+2269.7+24359.6+5525.5</f>
        <v>684475.5</v>
      </c>
      <c r="D60" s="34">
        <f>169012.1+16489.4+29.4+2310.8+367.2</f>
        <v>188208.9</v>
      </c>
      <c r="E60" s="34">
        <f>72990.8+58.4</f>
        <v>73049.2</v>
      </c>
      <c r="F60" s="34">
        <v>52828.2</v>
      </c>
      <c r="G60" s="34">
        <v>897.49999999999989</v>
      </c>
      <c r="H60" s="25">
        <v>3049.4</v>
      </c>
      <c r="I60" s="25">
        <v>3000.6</v>
      </c>
      <c r="J60" s="25">
        <v>286862.39999999997</v>
      </c>
      <c r="K60" s="31">
        <f>61106.5+15244.8+22791.8+34</f>
        <v>99177.1</v>
      </c>
      <c r="L60" s="25">
        <v>28206.799999999996</v>
      </c>
      <c r="M60" s="25">
        <f>1065.5+21080.2</f>
        <v>22145.7</v>
      </c>
      <c r="N60" s="25">
        <f>318141.6+563.7+73.8</f>
        <v>318779.09999999998</v>
      </c>
      <c r="O60" s="27">
        <v>450473</v>
      </c>
      <c r="P60" s="28">
        <v>90171.300000000017</v>
      </c>
      <c r="Q60" s="33">
        <f>19.3+18932.8+1378.7+0+96.3-16822.7-31.4-0</f>
        <v>3572.9999999999977</v>
      </c>
      <c r="R60" s="34">
        <f>93769.6+77293.7+3533.4-15244.8-22815.2</f>
        <v>136536.69999999998</v>
      </c>
      <c r="S60" s="27">
        <f t="shared" si="10"/>
        <v>3643654.7</v>
      </c>
    </row>
    <row r="61" spans="1:19" s="45" customFormat="1" x14ac:dyDescent="0.25">
      <c r="A61" s="46"/>
      <c r="B61" s="47"/>
      <c r="C61" s="48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9"/>
      <c r="P61" s="49"/>
      <c r="Q61" s="50"/>
      <c r="R61" s="49"/>
      <c r="S61" s="56"/>
    </row>
    <row r="62" spans="1:19" s="55" customFormat="1" ht="18.75" x14ac:dyDescent="0.3">
      <c r="A62" s="51" t="s">
        <v>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3"/>
    </row>
    <row r="63" spans="1:19" s="23" customFormat="1" x14ac:dyDescent="0.25">
      <c r="O63" s="35"/>
      <c r="P63" s="35"/>
      <c r="Q63" s="36"/>
      <c r="R63" s="35"/>
      <c r="S63" s="35"/>
    </row>
  </sheetData>
  <mergeCells count="18">
    <mergeCell ref="N6:N7"/>
    <mergeCell ref="O6:O7"/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3"/>
  <sheetViews>
    <sheetView tabSelected="1" workbookViewId="0">
      <pane xSplit="1" ySplit="7" topLeftCell="S17" activePane="bottomRight" state="frozen"/>
      <selection pane="topRight" activeCell="B1" sqref="B1"/>
      <selection pane="bottomLeft" activeCell="A8" sqref="A8"/>
      <selection pane="bottomRight" activeCell="S20" sqref="S20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0" t="s">
        <v>4</v>
      </c>
      <c r="C6" s="72" t="s">
        <v>5</v>
      </c>
      <c r="D6" s="72" t="s">
        <v>41</v>
      </c>
      <c r="E6" s="78" t="s">
        <v>47</v>
      </c>
      <c r="F6" s="78"/>
      <c r="G6" s="78"/>
      <c r="H6" s="72" t="s">
        <v>7</v>
      </c>
      <c r="I6" s="72" t="s">
        <v>8</v>
      </c>
      <c r="J6" s="72" t="s">
        <v>9</v>
      </c>
      <c r="K6" s="72" t="s">
        <v>10</v>
      </c>
      <c r="L6" s="72" t="s">
        <v>45</v>
      </c>
      <c r="M6" s="72" t="s">
        <v>11</v>
      </c>
      <c r="N6" s="72" t="s">
        <v>42</v>
      </c>
      <c r="O6" s="72" t="s">
        <v>43</v>
      </c>
      <c r="P6" s="70" t="s">
        <v>12</v>
      </c>
      <c r="Q6" s="71" t="s">
        <v>13</v>
      </c>
      <c r="R6" s="72" t="s">
        <v>14</v>
      </c>
      <c r="S6" s="70" t="s">
        <v>15</v>
      </c>
    </row>
    <row r="7" spans="1:19" s="37" customFormat="1" ht="90" customHeight="1" x14ac:dyDescent="0.3">
      <c r="A7" s="77"/>
      <c r="B7" s="70"/>
      <c r="C7" s="72"/>
      <c r="D7" s="72"/>
      <c r="E7" s="54" t="s">
        <v>4</v>
      </c>
      <c r="F7" s="54" t="s">
        <v>5</v>
      </c>
      <c r="G7" s="54" t="s">
        <v>48</v>
      </c>
      <c r="H7" s="72"/>
      <c r="I7" s="72"/>
      <c r="J7" s="72"/>
      <c r="K7" s="72"/>
      <c r="L7" s="72"/>
      <c r="M7" s="72"/>
      <c r="N7" s="72"/>
      <c r="O7" s="72"/>
      <c r="P7" s="70"/>
      <c r="Q7" s="71"/>
      <c r="R7" s="72"/>
      <c r="S7" s="70"/>
    </row>
    <row r="8" spans="1:19" s="23" customFormat="1" x14ac:dyDescent="0.25">
      <c r="A8" s="69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9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9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9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9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9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9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9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9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9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9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23" customFormat="1" x14ac:dyDescent="0.25">
      <c r="A19" s="69">
        <v>2019</v>
      </c>
      <c r="B19" s="31">
        <v>889356.69999999984</v>
      </c>
      <c r="C19" s="31">
        <v>497195.6</v>
      </c>
      <c r="D19" s="34">
        <v>147319.79999999999</v>
      </c>
      <c r="E19" s="34">
        <f>42949.2+58.4</f>
        <v>43007.6</v>
      </c>
      <c r="F19" s="34">
        <v>52965.500000000007</v>
      </c>
      <c r="G19" s="34">
        <v>1109.6999999999998</v>
      </c>
      <c r="H19" s="25">
        <v>5917.9</v>
      </c>
      <c r="I19" s="25">
        <v>4674.6000000000004</v>
      </c>
      <c r="J19" s="25">
        <v>427469.4</v>
      </c>
      <c r="K19" s="31">
        <v>82888.800000000003</v>
      </c>
      <c r="L19" s="25">
        <v>32600.300000000003</v>
      </c>
      <c r="M19" s="25">
        <v>927.60000000000014</v>
      </c>
      <c r="N19" s="25">
        <v>216615.89999999997</v>
      </c>
      <c r="O19" s="27">
        <v>291528.80000000005</v>
      </c>
      <c r="P19" s="28">
        <v>120578.99999999999</v>
      </c>
      <c r="Q19" s="33">
        <f>79.8+10119.5-13.2-15220.2-31.4-0</f>
        <v>-5065.5000000000018</v>
      </c>
      <c r="R19" s="34">
        <f>72539.8+74054.3+1953-16514.7-8349.2</f>
        <v>123683.2</v>
      </c>
      <c r="S19" s="27">
        <f t="shared" ref="S19" si="2">SUM(B19:R19)</f>
        <v>2932774.8999999994</v>
      </c>
    </row>
    <row r="20" spans="1:19" s="23" customFormat="1" ht="15" customHeight="1" x14ac:dyDescent="0.25">
      <c r="A20" s="69">
        <v>2020</v>
      </c>
      <c r="B20" s="31">
        <f>1127406.1+14327.1</f>
        <v>1141733.2000000002</v>
      </c>
      <c r="C20" s="31">
        <f>612431.2+3166.9+2942.3+21501.2+5260.4</f>
        <v>645302</v>
      </c>
      <c r="D20" s="34">
        <f>158492+13303+71.2+7277+232.4</f>
        <v>179375.6</v>
      </c>
      <c r="E20" s="34">
        <f>87099.3+58.4</f>
        <v>87157.7</v>
      </c>
      <c r="F20" s="34">
        <v>44679.6</v>
      </c>
      <c r="G20" s="34">
        <v>899.49999999999989</v>
      </c>
      <c r="H20" s="25">
        <v>3485.6</v>
      </c>
      <c r="I20" s="25">
        <f>0+3667.1</f>
        <v>3667.1</v>
      </c>
      <c r="J20" s="25">
        <v>296859.40000000008</v>
      </c>
      <c r="K20" s="31">
        <f>53343.2+20079.5+26571.3+66</f>
        <v>100060</v>
      </c>
      <c r="L20" s="25">
        <v>22821.599999999999</v>
      </c>
      <c r="M20" s="25">
        <f>13386.5+0</f>
        <v>13386.5</v>
      </c>
      <c r="N20" s="25">
        <f>307050.9+560.2+76.7</f>
        <v>307687.80000000005</v>
      </c>
      <c r="O20" s="27">
        <v>375585</v>
      </c>
      <c r="P20" s="28">
        <v>158256</v>
      </c>
      <c r="Q20" s="33">
        <f>84.4+2023.3+600.1+0-2083.8-31.4-0</f>
        <v>592.59999999999957</v>
      </c>
      <c r="R20" s="34">
        <f>85368.1+75821.6+2271.8-20079.5-14327.1</f>
        <v>129054.9</v>
      </c>
      <c r="S20" s="27">
        <f t="shared" ref="S20" si="3">SUM(B20:R20)</f>
        <v>3510604.1000000006</v>
      </c>
    </row>
    <row r="21" spans="1:19" s="45" customFormat="1" x14ac:dyDescent="0.25">
      <c r="A21" s="46"/>
      <c r="B21" s="47"/>
      <c r="C21" s="4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9"/>
      <c r="P21" s="49"/>
      <c r="Q21" s="50"/>
      <c r="R21" s="49"/>
      <c r="S21" s="56"/>
    </row>
    <row r="22" spans="1:19" s="55" customFormat="1" ht="18.75" x14ac:dyDescent="0.3">
      <c r="A22" s="51" t="s">
        <v>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3"/>
    </row>
    <row r="23" spans="1:19" s="23" customFormat="1" x14ac:dyDescent="0.25">
      <c r="O23" s="35"/>
      <c r="P23" s="35"/>
      <c r="Q23" s="36"/>
      <c r="R23" s="35"/>
      <c r="S23" s="35"/>
    </row>
  </sheetData>
  <mergeCells count="18">
    <mergeCell ref="N6:N7"/>
    <mergeCell ref="O6:O7"/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2021-07-08T13:55:15Z</dcterms:modified>
</cp:coreProperties>
</file>