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tabRatio="604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75" i="5" l="1"/>
  <c r="P175" i="5"/>
  <c r="S175" i="5" s="1"/>
  <c r="I175" i="5"/>
  <c r="G175" i="5"/>
  <c r="L175" i="5" s="1"/>
  <c r="O175" i="5" s="1"/>
  <c r="T175" i="5" s="1"/>
  <c r="C175" i="5"/>
  <c r="B175" i="5"/>
  <c r="E175" i="5" s="1"/>
  <c r="U175" i="5" l="1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U162" i="5" s="1"/>
  <c r="I162" i="5"/>
  <c r="E162" i="5"/>
  <c r="Q20" i="7" l="1"/>
  <c r="P20" i="7"/>
  <c r="S20" i="7" s="1"/>
  <c r="I20" i="7"/>
  <c r="G20" i="7"/>
  <c r="L20" i="7" s="1"/>
  <c r="O20" i="7" s="1"/>
  <c r="T20" i="7" s="1"/>
  <c r="E20" i="7"/>
  <c r="C20" i="7"/>
  <c r="B20" i="7"/>
  <c r="Q62" i="6"/>
  <c r="P62" i="6"/>
  <c r="S62" i="6" s="1"/>
  <c r="I62" i="6"/>
  <c r="G62" i="6"/>
  <c r="L62" i="6" s="1"/>
  <c r="O62" i="6" s="1"/>
  <c r="E62" i="6"/>
  <c r="C62" i="6"/>
  <c r="B62" i="6"/>
  <c r="Q61" i="6"/>
  <c r="P61" i="6"/>
  <c r="S61" i="6" s="1"/>
  <c r="I61" i="6"/>
  <c r="G61" i="6"/>
  <c r="L61" i="6" s="1"/>
  <c r="O61" i="6" s="1"/>
  <c r="T61" i="6" s="1"/>
  <c r="U61" i="6" s="1"/>
  <c r="E61" i="6"/>
  <c r="C61" i="6"/>
  <c r="B61" i="6"/>
  <c r="P60" i="6"/>
  <c r="S60" i="6" s="1"/>
  <c r="I60" i="6"/>
  <c r="G60" i="6"/>
  <c r="L60" i="6" s="1"/>
  <c r="O60" i="6" s="1"/>
  <c r="C60" i="6"/>
  <c r="E60" i="6" s="1"/>
  <c r="B60" i="6"/>
  <c r="P59" i="6"/>
  <c r="S59" i="6" s="1"/>
  <c r="L59" i="6"/>
  <c r="O59" i="6" s="1"/>
  <c r="T59" i="6" s="1"/>
  <c r="I59" i="6"/>
  <c r="G59" i="6"/>
  <c r="C59" i="6"/>
  <c r="B59" i="6"/>
  <c r="E59" i="6" s="1"/>
  <c r="Q174" i="5"/>
  <c r="S174" i="5" s="1"/>
  <c r="P174" i="5"/>
  <c r="I174" i="5"/>
  <c r="G174" i="5"/>
  <c r="L174" i="5" s="1"/>
  <c r="O174" i="5" s="1"/>
  <c r="E174" i="5"/>
  <c r="C174" i="5"/>
  <c r="B174" i="5"/>
  <c r="Q173" i="5"/>
  <c r="S173" i="5" s="1"/>
  <c r="P173" i="5"/>
  <c r="I173" i="5"/>
  <c r="G173" i="5"/>
  <c r="L173" i="5" s="1"/>
  <c r="O173" i="5" s="1"/>
  <c r="T173" i="5" s="1"/>
  <c r="E173" i="5"/>
  <c r="C173" i="5"/>
  <c r="B173" i="5"/>
  <c r="Q172" i="5"/>
  <c r="S172" i="5" s="1"/>
  <c r="P172" i="5"/>
  <c r="I172" i="5"/>
  <c r="G172" i="5"/>
  <c r="L172" i="5" s="1"/>
  <c r="O172" i="5" s="1"/>
  <c r="E172" i="5"/>
  <c r="C172" i="5"/>
  <c r="B172" i="5"/>
  <c r="Q171" i="5"/>
  <c r="S171" i="5" s="1"/>
  <c r="P171" i="5"/>
  <c r="I171" i="5"/>
  <c r="G171" i="5"/>
  <c r="L171" i="5" s="1"/>
  <c r="O171" i="5" s="1"/>
  <c r="T171" i="5" s="1"/>
  <c r="E171" i="5"/>
  <c r="C171" i="5"/>
  <c r="B171" i="5"/>
  <c r="Q170" i="5"/>
  <c r="S170" i="5" s="1"/>
  <c r="P170" i="5"/>
  <c r="I170" i="5"/>
  <c r="G170" i="5"/>
  <c r="L170" i="5" s="1"/>
  <c r="O170" i="5" s="1"/>
  <c r="E170" i="5"/>
  <c r="C170" i="5"/>
  <c r="B170" i="5"/>
  <c r="Q169" i="5"/>
  <c r="S169" i="5" s="1"/>
  <c r="P169" i="5"/>
  <c r="I169" i="5"/>
  <c r="G169" i="5"/>
  <c r="L169" i="5" s="1"/>
  <c r="O169" i="5" s="1"/>
  <c r="E169" i="5"/>
  <c r="C169" i="5"/>
  <c r="B169" i="5"/>
  <c r="P168" i="5"/>
  <c r="S168" i="5" s="1"/>
  <c r="I168" i="5"/>
  <c r="G168" i="5"/>
  <c r="L168" i="5" s="1"/>
  <c r="O168" i="5" s="1"/>
  <c r="T168" i="5" s="1"/>
  <c r="C168" i="5"/>
  <c r="E168" i="5" s="1"/>
  <c r="U168" i="5" s="1"/>
  <c r="B168" i="5"/>
  <c r="U20" i="7" l="1"/>
  <c r="T60" i="6"/>
  <c r="U60" i="6" s="1"/>
  <c r="T62" i="6"/>
  <c r="U62" i="6" s="1"/>
  <c r="U59" i="6"/>
  <c r="T170" i="5"/>
  <c r="T172" i="5"/>
  <c r="U172" i="5" s="1"/>
  <c r="U171" i="5"/>
  <c r="U173" i="5"/>
  <c r="U170" i="5"/>
  <c r="T174" i="5"/>
  <c r="U174" i="5" s="1"/>
  <c r="T169" i="5"/>
  <c r="U169" i="5" s="1"/>
  <c r="P57" i="6" l="1"/>
  <c r="S57" i="6" s="1"/>
  <c r="I57" i="6"/>
  <c r="L57" i="6" s="1"/>
  <c r="O57" i="6" s="1"/>
  <c r="E57" i="6"/>
  <c r="P167" i="5"/>
  <c r="S167" i="5" s="1"/>
  <c r="I167" i="5"/>
  <c r="G167" i="5"/>
  <c r="L167" i="5" s="1"/>
  <c r="O167" i="5" s="1"/>
  <c r="T167" i="5" s="1"/>
  <c r="C167" i="5"/>
  <c r="B167" i="5"/>
  <c r="P166" i="5"/>
  <c r="S166" i="5" s="1"/>
  <c r="I166" i="5"/>
  <c r="G166" i="5"/>
  <c r="C166" i="5"/>
  <c r="B166" i="5"/>
  <c r="E166" i="5" s="1"/>
  <c r="P165" i="5"/>
  <c r="S165" i="5" s="1"/>
  <c r="I165" i="5"/>
  <c r="G165" i="5"/>
  <c r="L165" i="5" s="1"/>
  <c r="O165" i="5" s="1"/>
  <c r="C165" i="5"/>
  <c r="B165" i="5"/>
  <c r="P164" i="5"/>
  <c r="S164" i="5" s="1"/>
  <c r="I164" i="5"/>
  <c r="G164" i="5"/>
  <c r="L164" i="5" s="1"/>
  <c r="O164" i="5" s="1"/>
  <c r="T164" i="5" s="1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E165" i="5" l="1"/>
  <c r="T57" i="6"/>
  <c r="U57" i="6" s="1"/>
  <c r="L163" i="5"/>
  <c r="O163" i="5" s="1"/>
  <c r="T163" i="5" s="1"/>
  <c r="E167" i="5"/>
  <c r="U167" i="5" s="1"/>
  <c r="L166" i="5"/>
  <c r="O166" i="5" s="1"/>
  <c r="T166" i="5" s="1"/>
  <c r="U166" i="5" s="1"/>
  <c r="T159" i="5"/>
  <c r="U159" i="5" s="1"/>
  <c r="T161" i="5"/>
  <c r="U161" i="5" s="1"/>
  <c r="T160" i="5"/>
  <c r="U160" i="5" s="1"/>
  <c r="T157" i="5"/>
  <c r="U157" i="5" s="1"/>
  <c r="T158" i="5"/>
  <c r="U158" i="5" s="1"/>
  <c r="T165" i="5"/>
  <c r="U165" i="5" s="1"/>
  <c r="U164" i="5"/>
  <c r="U163" i="5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<sst xmlns="http://schemas.openxmlformats.org/spreadsheetml/2006/main" count="389" uniqueCount="73">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</sst>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4" workbookViewId="0">
      <selection activeCell="F18" sqref="F18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44592</v>
      </c>
    </row>
    <row r="13" spans="2:5">
      <c r="B13" s="7" t="s">
        <v>31</v>
      </c>
      <c r="C13" s="8" t="s">
        <v>60</v>
      </c>
      <c r="D13" s="8" t="s">
        <v>31</v>
      </c>
      <c r="E13" s="10" t="s">
        <v>68</v>
      </c>
    </row>
    <row r="14" spans="2:5">
      <c r="B14" s="7" t="s">
        <v>32</v>
      </c>
      <c r="C14" s="8" t="s">
        <v>38</v>
      </c>
      <c r="D14" s="8" t="s">
        <v>32</v>
      </c>
      <c r="E14" s="9" t="s">
        <v>69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77"/>
  <sheetViews>
    <sheetView tabSelected="1" workbookViewId="0">
      <pane xSplit="1" ySplit="6" topLeftCell="T169" activePane="bottomRight" state="frozen"/>
      <selection pane="topRight" activeCell="B1" sqref="B1"/>
      <selection pane="bottomLeft" activeCell="A7" sqref="A7"/>
      <selection pane="bottomRight" activeCell="A174" sqref="A174:XFD175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2" t="s">
        <v>55</v>
      </c>
      <c r="G2" s="42"/>
      <c r="H2" s="42"/>
    </row>
    <row r="3" spans="1:21" ht="21" customHeight="1"/>
    <row r="4" spans="1:21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</row>
    <row r="5" spans="1:21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</row>
    <row r="6" spans="1:21" s="24" customFormat="1" ht="90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</row>
    <row r="7" spans="1:21" s="36" customFormat="1" ht="15.75">
      <c r="A7" s="41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1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1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1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1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1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1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1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1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1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1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1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1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1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1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1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1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1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1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1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1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1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1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1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1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1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1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1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1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1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1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1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1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1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1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1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1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1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1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1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1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1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1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1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1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1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1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1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1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1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1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1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1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1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1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1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1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1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1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1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1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1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1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1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1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1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1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1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1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1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1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1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1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1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1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1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1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1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1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1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1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1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1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1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1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1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1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1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1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1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1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1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1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1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1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1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1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1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1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1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1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1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1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1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1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1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1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1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1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1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1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1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1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1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1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1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1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1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1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1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1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1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1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1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1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1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1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1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1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1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1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1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1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75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75" si="24">SUM(O139,S139)</f>
        <v>2367805.4</v>
      </c>
      <c r="U139" s="30">
        <f t="shared" ref="U139:U175" si="25">SUM(E139,T139)</f>
        <v>2129479</v>
      </c>
    </row>
    <row r="140" spans="1:21" s="36" customFormat="1" ht="15.75">
      <c r="A140" s="41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1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1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1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75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1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1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1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1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1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1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1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1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1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1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1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1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1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1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7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7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1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1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1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3" s="36" customFormat="1" ht="15.75">
      <c r="A161" s="41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 t="shared" si="25"/>
        <v>3142218.0557070002</v>
      </c>
    </row>
    <row r="162" spans="1:23" s="36" customFormat="1" ht="15.75">
      <c r="A162" s="41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 t="shared" si="25"/>
        <v>3258016.5834830003</v>
      </c>
    </row>
    <row r="163" spans="1:23" s="36" customFormat="1" ht="15.75">
      <c r="A163" s="41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1"/>
        <v>-219299.73333333331</v>
      </c>
      <c r="F163" s="31">
        <v>0</v>
      </c>
      <c r="G163" s="31">
        <f>106324+1457030+66802.1</f>
        <v>1630156.1</v>
      </c>
      <c r="H163" s="31"/>
      <c r="I163" s="31">
        <f>24701.1+27463+118645.1+150000+2000</f>
        <v>322809.2</v>
      </c>
      <c r="J163" s="31">
        <v>6921.2</v>
      </c>
      <c r="K163" s="31">
        <v>708283.6</v>
      </c>
      <c r="L163" s="32">
        <f t="shared" si="32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f>28188.1+101.6</f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si="25"/>
        <v>3272078.2889246671</v>
      </c>
    </row>
    <row r="164" spans="1:23" s="36" customFormat="1" ht="15.75">
      <c r="A164" s="41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1"/>
        <v>-189401.26666666669</v>
      </c>
      <c r="F164" s="31">
        <v>0</v>
      </c>
      <c r="G164" s="31">
        <f>125624+1451471.2+73895.9</f>
        <v>1650991.0999999999</v>
      </c>
      <c r="H164" s="31"/>
      <c r="I164" s="31">
        <f>23304.2+27463+146256.4+150000+2000+4668.9</f>
        <v>353692.5</v>
      </c>
      <c r="J164" s="31">
        <v>5527.9</v>
      </c>
      <c r="K164" s="31">
        <v>704458.1</v>
      </c>
      <c r="L164" s="32">
        <f t="shared" si="32"/>
        <v>2714669.5999999996</v>
      </c>
      <c r="M164" s="31">
        <v>618398.80289299996</v>
      </c>
      <c r="N164" s="30">
        <v>74182.100000000006</v>
      </c>
      <c r="O164" s="32">
        <f t="shared" si="22"/>
        <v>2022088.6971069996</v>
      </c>
      <c r="P164" s="37">
        <f>26250.3+101.6</f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25"/>
        <v>3333932.1304403329</v>
      </c>
    </row>
    <row r="165" spans="1:23" s="36" customFormat="1" ht="15.75">
      <c r="A165" s="41">
        <v>44286</v>
      </c>
      <c r="B165" s="31">
        <f>212738-331861.9</f>
        <v>-119123.90000000002</v>
      </c>
      <c r="C165" s="31">
        <f>210185.7-318779.1</f>
        <v>-108593.39999999997</v>
      </c>
      <c r="D165" s="31">
        <v>-81.7</v>
      </c>
      <c r="E165" s="30">
        <f t="shared" si="31"/>
        <v>-227799</v>
      </c>
      <c r="F165" s="31">
        <v>0</v>
      </c>
      <c r="G165" s="31">
        <f>126464+1443480.7+78836.6</f>
        <v>1648781.3</v>
      </c>
      <c r="H165" s="31"/>
      <c r="I165" s="31">
        <f>28954.5+0+143124.3+150000+2000+4668.9</f>
        <v>328747.7</v>
      </c>
      <c r="J165" s="31">
        <v>4134.6000000000004</v>
      </c>
      <c r="K165" s="31">
        <v>703262.9</v>
      </c>
      <c r="L165" s="32">
        <f t="shared" si="32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f>24586.6+101.6</f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25"/>
        <v>3357336.6000000006</v>
      </c>
    </row>
    <row r="166" spans="1:23" s="36" customFormat="1" ht="15.75">
      <c r="A166" s="41">
        <v>44316</v>
      </c>
      <c r="B166" s="31">
        <f>210523.2-315749.3</f>
        <v>-105226.09999999998</v>
      </c>
      <c r="C166" s="31">
        <f>181214.9-324733.2</f>
        <v>-143518.30000000002</v>
      </c>
      <c r="D166" s="31">
        <v>-93.8</v>
      </c>
      <c r="E166" s="30">
        <f t="shared" si="31"/>
        <v>-248838.19999999998</v>
      </c>
      <c r="F166" s="31">
        <v>0</v>
      </c>
      <c r="G166" s="31">
        <f>142324+1434526.7+89310.1</f>
        <v>1666160.8</v>
      </c>
      <c r="H166" s="31"/>
      <c r="I166" s="31">
        <f>19870.3+143571+0+150000+4032.5+4668.9+29176.1</f>
        <v>351318.8</v>
      </c>
      <c r="J166" s="31">
        <v>2741.3</v>
      </c>
      <c r="K166" s="31">
        <v>702954.8</v>
      </c>
      <c r="L166" s="32">
        <f t="shared" si="32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f>23299.7+101.6</f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25"/>
        <v>3342102.166666667</v>
      </c>
    </row>
    <row r="167" spans="1:23" s="36" customFormat="1" ht="15.75">
      <c r="A167" s="41">
        <v>44347</v>
      </c>
      <c r="B167" s="31">
        <f>192905.9-316505.6</f>
        <v>-123599.69999999998</v>
      </c>
      <c r="C167" s="31">
        <f>172878.4-321370.8</f>
        <v>-148492.4</v>
      </c>
      <c r="D167" s="31">
        <v>-105.9</v>
      </c>
      <c r="E167" s="30">
        <f t="shared" si="31"/>
        <v>-272198</v>
      </c>
      <c r="F167" s="31">
        <v>0</v>
      </c>
      <c r="G167" s="31">
        <f>147093.7+1433482.8+111190.4</f>
        <v>1691766.9</v>
      </c>
      <c r="H167" s="31"/>
      <c r="I167" s="31">
        <f>21693+129697.7+0+150000+6043.1+4668.9+29176.1+837.8</f>
        <v>342116.6</v>
      </c>
      <c r="J167" s="31">
        <v>0</v>
      </c>
      <c r="K167" s="31">
        <v>702546.1</v>
      </c>
      <c r="L167" s="32">
        <f t="shared" si="32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f>24802.1+101.6</f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25"/>
        <v>3416495.333333333</v>
      </c>
    </row>
    <row r="168" spans="1:23" s="36" customFormat="1" ht="15.75">
      <c r="A168" s="41">
        <v>44377</v>
      </c>
      <c r="B168" s="31">
        <f>191742.9-306331.3</f>
        <v>-114588.4</v>
      </c>
      <c r="C168" s="31">
        <f>174837.1-365639.5</f>
        <v>-190802.4</v>
      </c>
      <c r="D168" s="31">
        <v>-118</v>
      </c>
      <c r="E168" s="30">
        <f t="shared" ref="E168:E174" si="35">+SUM(B168:D168)</f>
        <v>-305508.8</v>
      </c>
      <c r="F168" s="31">
        <v>57076.7</v>
      </c>
      <c r="G168" s="31">
        <f>148924+1476613.7+93689.9</f>
        <v>1719227.5999999999</v>
      </c>
      <c r="H168" s="31"/>
      <c r="I168" s="31">
        <f>20582.4+127108.3+0+150000+11960.4+4668.9+29176.1+3728.9</f>
        <v>347225.00000000006</v>
      </c>
      <c r="J168" s="31">
        <v>0</v>
      </c>
      <c r="K168" s="31">
        <v>701028.8</v>
      </c>
      <c r="L168" s="32">
        <f t="shared" ref="L168:L174" si="36">+SUM(F168:K168)</f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f>26127+101.6</f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25"/>
        <v>3566605</v>
      </c>
    </row>
    <row r="169" spans="1:23" s="36" customFormat="1" ht="18">
      <c r="A169" s="41" t="s">
        <v>64</v>
      </c>
      <c r="B169" s="31">
        <f>169200.4-306354.8</f>
        <v>-137154.4</v>
      </c>
      <c r="C169" s="31">
        <f>186628-389848.3</f>
        <v>-203220.3</v>
      </c>
      <c r="D169" s="31">
        <v>-148.66666666666666</v>
      </c>
      <c r="E169" s="30">
        <f t="shared" si="35"/>
        <v>-340523.36666666664</v>
      </c>
      <c r="F169" s="31">
        <v>63146.5</v>
      </c>
      <c r="G169" s="31">
        <f>148224+1529151.3+100549</f>
        <v>1777924.3</v>
      </c>
      <c r="H169" s="31"/>
      <c r="I169" s="31">
        <f>23740.6+109958.2+0+150000+11960.4+4668.9+29176.1+5438.2</f>
        <v>334942.40000000002</v>
      </c>
      <c r="J169" s="31">
        <v>0</v>
      </c>
      <c r="K169" s="31">
        <v>700389</v>
      </c>
      <c r="L169" s="32">
        <f t="shared" si="36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f>23416.6+101.6</f>
        <v>23518.199999999997</v>
      </c>
      <c r="Q169" s="32">
        <f>1721060.2+10337.4+64861.4</f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25"/>
        <v>3634283.666666666</v>
      </c>
    </row>
    <row r="170" spans="1:23" s="36" customFormat="1" ht="18">
      <c r="A170" s="41" t="s">
        <v>65</v>
      </c>
      <c r="B170" s="31">
        <f>579326.5-719954.4</f>
        <v>-140627.90000000002</v>
      </c>
      <c r="C170" s="31">
        <f>168097.4-391729.8</f>
        <v>-223632.4</v>
      </c>
      <c r="D170" s="31">
        <v>-179.33333333333334</v>
      </c>
      <c r="E170" s="30">
        <f t="shared" si="35"/>
        <v>-364439.63333333336</v>
      </c>
      <c r="F170" s="31">
        <v>33670.800000000003</v>
      </c>
      <c r="G170" s="31">
        <f>182597+1520467.8+99867.6</f>
        <v>1802932.4000000001</v>
      </c>
      <c r="H170" s="31"/>
      <c r="I170" s="31">
        <f>23347.2+121971.1+0+150000+11960.4+4668.9+29176.1+9796.1</f>
        <v>350919.80000000005</v>
      </c>
      <c r="J170" s="31">
        <v>0</v>
      </c>
      <c r="K170" s="31">
        <v>698477.8</v>
      </c>
      <c r="L170" s="32">
        <f t="shared" si="36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f>101.6+25357.1</f>
        <v>25458.699999999997</v>
      </c>
      <c r="Q170" s="32">
        <f>1806537.6+10675+59795.2</f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25"/>
        <v>3679010.2333333339</v>
      </c>
    </row>
    <row r="171" spans="1:23" s="36" customFormat="1" ht="18">
      <c r="A171" s="41" t="s">
        <v>66</v>
      </c>
      <c r="B171" s="31">
        <f>619116.9-769655.5</f>
        <v>-150538.59999999998</v>
      </c>
      <c r="C171" s="31">
        <f>174824.4-429239.7</f>
        <v>-254415.30000000002</v>
      </c>
      <c r="D171" s="31">
        <v>-210</v>
      </c>
      <c r="E171" s="30">
        <f t="shared" si="35"/>
        <v>-405163.9</v>
      </c>
      <c r="F171" s="31">
        <v>0</v>
      </c>
      <c r="G171" s="31">
        <f>195803.2+1535241.8+100279.1</f>
        <v>1831324.1</v>
      </c>
      <c r="H171" s="31"/>
      <c r="I171" s="31">
        <f>23801.5+117313.3+0+150000+11960.4+4668.9+29176.1+10252</f>
        <v>347172.2</v>
      </c>
      <c r="J171" s="31">
        <v>0</v>
      </c>
      <c r="K171" s="31">
        <v>697339.3</v>
      </c>
      <c r="L171" s="32">
        <f t="shared" si="36"/>
        <v>2875835.6000000006</v>
      </c>
      <c r="M171" s="31">
        <v>651228.69999999995</v>
      </c>
      <c r="N171" s="30">
        <v>81058.8</v>
      </c>
      <c r="O171" s="32">
        <f t="shared" si="22"/>
        <v>2143548.1000000006</v>
      </c>
      <c r="P171" s="37">
        <f>25612.6+101.6</f>
        <v>25714.199999999997</v>
      </c>
      <c r="Q171" s="32">
        <f>2070903.3+5112.7+63909.6</f>
        <v>2139925.6</v>
      </c>
      <c r="R171" s="32">
        <v>337.9</v>
      </c>
      <c r="S171" s="30">
        <f t="shared" si="28"/>
        <v>2165977.7000000002</v>
      </c>
      <c r="T171" s="34">
        <f t="shared" si="24"/>
        <v>4309525.8000000007</v>
      </c>
      <c r="U171" s="30">
        <f t="shared" si="25"/>
        <v>3904361.9000000008</v>
      </c>
    </row>
    <row r="172" spans="1:23" s="36" customFormat="1" ht="18">
      <c r="A172" s="41" t="s">
        <v>67</v>
      </c>
      <c r="B172" s="31">
        <f>777359.9-772767.2</f>
        <v>4592.7000000000698</v>
      </c>
      <c r="C172" s="31">
        <f>132578.4-413868.6</f>
        <v>-281290.19999999995</v>
      </c>
      <c r="D172" s="31">
        <v>-210</v>
      </c>
      <c r="E172" s="30">
        <f t="shared" si="35"/>
        <v>-276907.49999999988</v>
      </c>
      <c r="F172" s="31">
        <v>0</v>
      </c>
      <c r="G172" s="31">
        <f>165928.1+1558817.3+105201.2</f>
        <v>1829946.6</v>
      </c>
      <c r="H172" s="31"/>
      <c r="I172" s="31">
        <f>27975.3+114149.7+0+150000+11960.4+4668.9+29176.1+10288.9</f>
        <v>348219.30000000005</v>
      </c>
      <c r="J172" s="31">
        <v>0</v>
      </c>
      <c r="K172" s="31">
        <v>696699.4</v>
      </c>
      <c r="L172" s="32">
        <f t="shared" si="36"/>
        <v>2874865.3000000003</v>
      </c>
      <c r="M172" s="31">
        <v>828314.2</v>
      </c>
      <c r="N172" s="30">
        <v>83014.5</v>
      </c>
      <c r="O172" s="32">
        <f t="shared" si="22"/>
        <v>1963536.6000000003</v>
      </c>
      <c r="P172" s="37">
        <f>25563.8+101.6</f>
        <v>25665.399999999998</v>
      </c>
      <c r="Q172" s="32">
        <f>2143782.5+5112.7+61220.9</f>
        <v>2210116.1</v>
      </c>
      <c r="R172" s="32">
        <v>279.7</v>
      </c>
      <c r="S172" s="30">
        <f t="shared" si="28"/>
        <v>2236061.2000000002</v>
      </c>
      <c r="T172" s="34">
        <f t="shared" si="24"/>
        <v>4199597.8000000007</v>
      </c>
      <c r="U172" s="30">
        <f t="shared" si="25"/>
        <v>3922690.3000000007</v>
      </c>
    </row>
    <row r="173" spans="1:23" s="36" customFormat="1" ht="18">
      <c r="A173" s="41" t="s">
        <v>70</v>
      </c>
      <c r="B173" s="31">
        <f>687462.7-765682.1</f>
        <v>-78219.400000000023</v>
      </c>
      <c r="C173" s="31">
        <f>136694-379758.4</f>
        <v>-243064.40000000002</v>
      </c>
      <c r="D173" s="31">
        <v>-210</v>
      </c>
      <c r="E173" s="30">
        <f t="shared" si="35"/>
        <v>-321493.80000000005</v>
      </c>
      <c r="F173" s="31">
        <v>61719.1</v>
      </c>
      <c r="G173" s="31">
        <f>147787.2+1568133.6+105022.2</f>
        <v>1820943</v>
      </c>
      <c r="H173" s="31"/>
      <c r="I173" s="31">
        <f>16285.3+107916.5+113333.3+11960.3+4668.9+28191.3+10288.9</f>
        <v>292644.5</v>
      </c>
      <c r="J173" s="31">
        <v>0</v>
      </c>
      <c r="K173" s="31">
        <v>693753.1</v>
      </c>
      <c r="L173" s="32">
        <f t="shared" si="36"/>
        <v>2869059.7</v>
      </c>
      <c r="M173" s="31">
        <v>830660.6</v>
      </c>
      <c r="N173" s="30">
        <v>79761.3</v>
      </c>
      <c r="O173" s="32">
        <f t="shared" si="22"/>
        <v>1958637.8</v>
      </c>
      <c r="P173" s="37">
        <f>25713.2+101.6</f>
        <v>25814.799999999999</v>
      </c>
      <c r="Q173" s="32">
        <f>2226019+5112.7+54862.6</f>
        <v>2285994.3000000003</v>
      </c>
      <c r="R173" s="32">
        <v>266.3</v>
      </c>
      <c r="S173" s="30">
        <f t="shared" si="28"/>
        <v>2312075.4</v>
      </c>
      <c r="T173" s="34">
        <f t="shared" si="24"/>
        <v>4270713.2</v>
      </c>
      <c r="U173" s="30">
        <f t="shared" si="25"/>
        <v>3949219.4000000004</v>
      </c>
    </row>
    <row r="174" spans="1:23" s="36" customFormat="1" ht="18">
      <c r="A174" s="41" t="s">
        <v>71</v>
      </c>
      <c r="B174" s="31">
        <f>593226.4-734574.5</f>
        <v>-141348.09999999998</v>
      </c>
      <c r="C174" s="31">
        <f>185283.8-366326.2</f>
        <v>-181042.40000000002</v>
      </c>
      <c r="D174" s="31">
        <v>-210</v>
      </c>
      <c r="E174" s="30">
        <f t="shared" si="35"/>
        <v>-322600.5</v>
      </c>
      <c r="F174" s="31">
        <v>36124.9</v>
      </c>
      <c r="G174" s="31">
        <f>135495.9+1574632.6+105929.2</f>
        <v>1816057.7</v>
      </c>
      <c r="H174" s="31"/>
      <c r="I174" s="31">
        <f>17657.2+97957+113333.3+17520.8+4668.9+28191.3+10728.2</f>
        <v>290056.7</v>
      </c>
      <c r="J174" s="31">
        <v>0</v>
      </c>
      <c r="K174" s="31">
        <v>690961.7</v>
      </c>
      <c r="L174" s="32">
        <f t="shared" si="36"/>
        <v>2833201</v>
      </c>
      <c r="M174" s="31">
        <v>824959</v>
      </c>
      <c r="N174" s="30">
        <v>75800.899999999994</v>
      </c>
      <c r="O174" s="32">
        <f t="shared" si="22"/>
        <v>1932441.1</v>
      </c>
      <c r="P174" s="37">
        <f>24992.2+101.6</f>
        <v>25093.8</v>
      </c>
      <c r="Q174" s="32">
        <f>2257840.8+5112.7+63987.2</f>
        <v>2326940.7000000002</v>
      </c>
      <c r="R174" s="32">
        <v>256.5</v>
      </c>
      <c r="S174" s="30">
        <f t="shared" si="28"/>
        <v>2352291</v>
      </c>
      <c r="T174" s="34">
        <f t="shared" si="24"/>
        <v>4284732.0999999996</v>
      </c>
      <c r="U174" s="30">
        <f t="shared" si="25"/>
        <v>3962131.5999999996</v>
      </c>
    </row>
    <row r="175" spans="1:23" s="36" customFormat="1" ht="18">
      <c r="A175" s="41" t="s">
        <v>72</v>
      </c>
      <c r="B175" s="31">
        <f>608146-725205.8</f>
        <v>-117059.80000000005</v>
      </c>
      <c r="C175" s="31">
        <f>165550.4-403035.8</f>
        <v>-237485.4</v>
      </c>
      <c r="D175" s="31">
        <v>-210</v>
      </c>
      <c r="E175" s="30">
        <f t="shared" ref="E175" si="37">+SUM(B175:D175)</f>
        <v>-354755.20000000007</v>
      </c>
      <c r="F175" s="31">
        <v>57950.6</v>
      </c>
      <c r="G175" s="31">
        <f>139935.7+1563923+106085.6</f>
        <v>1809944.3</v>
      </c>
      <c r="H175" s="31"/>
      <c r="I175" s="31">
        <f>20155.8+88798.5+0+113333.3+17520.8+4668.9+29281.2+11584.4+150000</f>
        <v>435342.9</v>
      </c>
      <c r="J175" s="31">
        <v>0</v>
      </c>
      <c r="K175" s="31">
        <v>691355.6</v>
      </c>
      <c r="L175" s="32">
        <f t="shared" ref="L175" si="38">+SUM(F175:K175)</f>
        <v>2994593.4000000004</v>
      </c>
      <c r="M175" s="31">
        <v>833342.7</v>
      </c>
      <c r="N175" s="30">
        <v>82686.100000000006</v>
      </c>
      <c r="O175" s="32">
        <f t="shared" si="22"/>
        <v>2078564.6</v>
      </c>
      <c r="P175" s="37">
        <f>24782.4+101.6</f>
        <v>24884</v>
      </c>
      <c r="Q175" s="32">
        <f>2283388.5+5112.7+63315.3</f>
        <v>2351816.5</v>
      </c>
      <c r="R175" s="32">
        <v>230.5</v>
      </c>
      <c r="S175" s="30">
        <f t="shared" si="28"/>
        <v>2376931</v>
      </c>
      <c r="T175" s="34">
        <f t="shared" si="24"/>
        <v>4455495.5999999996</v>
      </c>
      <c r="U175" s="30">
        <f t="shared" si="25"/>
        <v>4100740.3999999994</v>
      </c>
    </row>
    <row r="176" spans="1:23" s="40" customFormat="1" ht="15.75">
      <c r="A176" s="46" t="s">
        <v>45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8"/>
      <c r="W176" s="36"/>
    </row>
    <row r="177" spans="1:21" s="36" customFormat="1" ht="15.75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1"/>
    </row>
  </sheetData>
  <mergeCells count="10">
    <mergeCell ref="A176:U177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4"/>
  <sheetViews>
    <sheetView workbookViewId="0">
      <pane xSplit="1" ySplit="6" topLeftCell="R52" activePane="bottomRight" state="frozen"/>
      <selection pane="topRight" activeCell="B1" sqref="B1"/>
      <selection pane="bottomLeft" activeCell="A7" sqref="A7"/>
      <selection pane="bottomRight" activeCell="A58" sqref="A58:XFD58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2" t="s">
        <v>55</v>
      </c>
      <c r="F2" s="42"/>
      <c r="G2" s="42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  <c r="V4" s="23"/>
    </row>
    <row r="5" spans="1:16382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  <c r="V5" s="25"/>
    </row>
    <row r="6" spans="1:16382" s="24" customFormat="1" ht="126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2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2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2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2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2" si="16">SUM(O51,S51)</f>
        <v>2456444.2000000002</v>
      </c>
      <c r="U51" s="30">
        <f t="shared" ref="U51:U62" si="17">SUM(E51,T51)</f>
        <v>2227041.1</v>
      </c>
    </row>
    <row r="52" spans="1:22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2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2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2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2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2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:S59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2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2" s="36" customFormat="1" ht="15.75">
      <c r="A59" s="41">
        <v>44286</v>
      </c>
      <c r="B59" s="31">
        <f>212738-331861.9</f>
        <v>-119123.90000000002</v>
      </c>
      <c r="C59" s="31">
        <f>210185.7-318779.1</f>
        <v>-108593.39999999997</v>
      </c>
      <c r="D59" s="31">
        <v>-81.7</v>
      </c>
      <c r="E59" s="30">
        <f t="shared" ref="E59" si="28">+SUM(B59:D59)</f>
        <v>-227799</v>
      </c>
      <c r="F59" s="31">
        <v>0</v>
      </c>
      <c r="G59" s="31">
        <f>126464+1443480.7+78836.6</f>
        <v>1648781.3</v>
      </c>
      <c r="H59" s="31"/>
      <c r="I59" s="31">
        <f>28954.5+0+143124.3+150000+2000+4668.9</f>
        <v>328747.7</v>
      </c>
      <c r="J59" s="31">
        <v>4134.6000000000004</v>
      </c>
      <c r="K59" s="31">
        <v>703262.9</v>
      </c>
      <c r="L59" s="32">
        <f t="shared" ref="L59" si="29">+SUM(F59:K59)</f>
        <v>2684926.5</v>
      </c>
      <c r="M59" s="31">
        <v>570127</v>
      </c>
      <c r="N59" s="30">
        <v>79893.7</v>
      </c>
      <c r="O59" s="32">
        <f t="shared" si="14"/>
        <v>2034905.8</v>
      </c>
      <c r="P59" s="37">
        <f>24586.6+101.6</f>
        <v>24688.199999999997</v>
      </c>
      <c r="Q59" s="32">
        <v>1524807.0000000002</v>
      </c>
      <c r="R59" s="32">
        <v>734.60000000000014</v>
      </c>
      <c r="S59" s="30">
        <f t="shared" si="24"/>
        <v>1550229.8000000003</v>
      </c>
      <c r="T59" s="34">
        <f t="shared" si="16"/>
        <v>3585135.6000000006</v>
      </c>
      <c r="U59" s="30">
        <f t="shared" si="17"/>
        <v>3357336.6000000006</v>
      </c>
    </row>
    <row r="60" spans="1:22" s="36" customFormat="1" ht="15.75">
      <c r="A60" s="41">
        <v>44377</v>
      </c>
      <c r="B60" s="31">
        <f>191742.9-306331.3</f>
        <v>-114588.4</v>
      </c>
      <c r="C60" s="31">
        <f>174837.1-365639.5</f>
        <v>-190802.4</v>
      </c>
      <c r="D60" s="31">
        <v>-118</v>
      </c>
      <c r="E60" s="30">
        <f t="shared" ref="E60:E62" si="30">+SUM(B60:D60)</f>
        <v>-305508.8</v>
      </c>
      <c r="F60" s="31">
        <v>57076.7</v>
      </c>
      <c r="G60" s="31">
        <f>148924+1476613.7+93689.9</f>
        <v>1719227.5999999999</v>
      </c>
      <c r="H60" s="31"/>
      <c r="I60" s="31">
        <f>20582.4+127108.3+0+150000+11960.4+4668.9+29176.1+3728.9</f>
        <v>347225.00000000006</v>
      </c>
      <c r="J60" s="31">
        <v>0</v>
      </c>
      <c r="K60" s="31">
        <v>701028.8</v>
      </c>
      <c r="L60" s="32">
        <f t="shared" ref="L60:L62" si="31">+SUM(F60:K60)</f>
        <v>2824558.0999999996</v>
      </c>
      <c r="M60" s="31">
        <v>625806.5</v>
      </c>
      <c r="N60" s="30">
        <v>82601.5</v>
      </c>
      <c r="O60" s="32">
        <f t="shared" si="14"/>
        <v>2116150.0999999996</v>
      </c>
      <c r="P60" s="37">
        <f>26127+101.6</f>
        <v>26228.6</v>
      </c>
      <c r="Q60" s="32">
        <v>1724195.7</v>
      </c>
      <c r="R60" s="32">
        <v>5539.4</v>
      </c>
      <c r="S60" s="30">
        <f t="shared" ref="S60:S62" si="32">SUM(P60:R60)</f>
        <v>1755963.7</v>
      </c>
      <c r="T60" s="34">
        <f t="shared" si="16"/>
        <v>3872113.8</v>
      </c>
      <c r="U60" s="30">
        <f t="shared" si="17"/>
        <v>3566605</v>
      </c>
    </row>
    <row r="61" spans="1:22" s="36" customFormat="1" ht="18">
      <c r="A61" s="41" t="s">
        <v>66</v>
      </c>
      <c r="B61" s="31">
        <f>619116.9-769655.5</f>
        <v>-150538.59999999998</v>
      </c>
      <c r="C61" s="31">
        <f>174824.4-429239.7</f>
        <v>-254415.30000000002</v>
      </c>
      <c r="D61" s="31">
        <v>-210</v>
      </c>
      <c r="E61" s="30">
        <f t="shared" si="30"/>
        <v>-405163.9</v>
      </c>
      <c r="F61" s="31">
        <v>0</v>
      </c>
      <c r="G61" s="31">
        <f>195803.2+1535241.8+100279.1</f>
        <v>1831324.1</v>
      </c>
      <c r="H61" s="31"/>
      <c r="I61" s="31">
        <f>23801.5+117313.3+0+150000+11960.4+4668.9+29176.1+10252</f>
        <v>347172.2</v>
      </c>
      <c r="J61" s="31">
        <v>0</v>
      </c>
      <c r="K61" s="31">
        <v>697339.3</v>
      </c>
      <c r="L61" s="32">
        <f t="shared" si="31"/>
        <v>2875835.6000000006</v>
      </c>
      <c r="M61" s="31">
        <v>651228.69999999995</v>
      </c>
      <c r="N61" s="30">
        <v>81058.8</v>
      </c>
      <c r="O61" s="32">
        <f t="shared" si="14"/>
        <v>2143548.1000000006</v>
      </c>
      <c r="P61" s="37">
        <f>25612.6+101.6</f>
        <v>25714.199999999997</v>
      </c>
      <c r="Q61" s="32">
        <f>2070903.3+5112.7+63909.6</f>
        <v>2139925.6</v>
      </c>
      <c r="R61" s="32">
        <v>337.9</v>
      </c>
      <c r="S61" s="30">
        <f t="shared" si="32"/>
        <v>2165977.7000000002</v>
      </c>
      <c r="T61" s="34">
        <f t="shared" si="16"/>
        <v>4309525.8000000007</v>
      </c>
      <c r="U61" s="30">
        <f t="shared" si="17"/>
        <v>3904361.9000000008</v>
      </c>
    </row>
    <row r="62" spans="1:22" s="36" customFormat="1" ht="18">
      <c r="A62" s="41" t="s">
        <v>71</v>
      </c>
      <c r="B62" s="31">
        <f>593226.4-734574.5</f>
        <v>-141348.09999999998</v>
      </c>
      <c r="C62" s="31">
        <f>185283.8-366326.2</f>
        <v>-181042.40000000002</v>
      </c>
      <c r="D62" s="31">
        <v>-210</v>
      </c>
      <c r="E62" s="30">
        <f t="shared" si="30"/>
        <v>-322600.5</v>
      </c>
      <c r="F62" s="31">
        <v>36124.9</v>
      </c>
      <c r="G62" s="31">
        <f>135495.9+1574632.6+105929.2</f>
        <v>1816057.7</v>
      </c>
      <c r="H62" s="31"/>
      <c r="I62" s="31">
        <f>17657.2+97957+113333.3+17520.8+4668.9+28191.3+10728.2</f>
        <v>290056.7</v>
      </c>
      <c r="J62" s="31">
        <v>0</v>
      </c>
      <c r="K62" s="31">
        <v>690961.7</v>
      </c>
      <c r="L62" s="32">
        <f t="shared" si="31"/>
        <v>2833201</v>
      </c>
      <c r="M62" s="31">
        <v>824959</v>
      </c>
      <c r="N62" s="30">
        <v>75800.899999999994</v>
      </c>
      <c r="O62" s="32">
        <f t="shared" si="14"/>
        <v>1932441.1</v>
      </c>
      <c r="P62" s="37">
        <f>24992.2+101.6</f>
        <v>25093.8</v>
      </c>
      <c r="Q62" s="32">
        <f>2257840.8+5112.7+63987.2</f>
        <v>2326940.7000000002</v>
      </c>
      <c r="R62" s="32">
        <v>256.5</v>
      </c>
      <c r="S62" s="30">
        <f t="shared" si="32"/>
        <v>2352291</v>
      </c>
      <c r="T62" s="34">
        <f t="shared" si="16"/>
        <v>4284732.0999999996</v>
      </c>
      <c r="U62" s="30">
        <f t="shared" si="17"/>
        <v>3962131.5999999996</v>
      </c>
    </row>
    <row r="63" spans="1:22" s="36" customFormat="1" ht="15.75">
      <c r="A63" s="46" t="s">
        <v>45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8"/>
      <c r="V63" s="35"/>
    </row>
    <row r="64" spans="1:22" s="36" customFormat="1" ht="15.7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63:U6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6" topLeftCell="U13" activePane="bottomRight" state="frozen"/>
      <selection pane="topRight" activeCell="B1" sqref="B1"/>
      <selection pane="bottomLeft" activeCell="A7" sqref="A7"/>
      <selection pane="bottomRight" activeCell="V20" sqref="V20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2" t="s">
        <v>55</v>
      </c>
      <c r="F2" s="42"/>
      <c r="G2" s="42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3" t="s">
        <v>46</v>
      </c>
      <c r="B4" s="57" t="s">
        <v>3</v>
      </c>
      <c r="C4" s="58"/>
      <c r="D4" s="58"/>
      <c r="E4" s="59"/>
      <c r="F4" s="43" t="s">
        <v>4</v>
      </c>
      <c r="G4" s="44"/>
      <c r="H4" s="44"/>
      <c r="I4" s="44"/>
      <c r="J4" s="44"/>
      <c r="K4" s="44"/>
      <c r="L4" s="44"/>
      <c r="M4" s="44"/>
      <c r="N4" s="44"/>
      <c r="O4" s="45"/>
      <c r="P4" s="43"/>
      <c r="Q4" s="44"/>
      <c r="R4" s="44"/>
      <c r="S4" s="44"/>
      <c r="T4" s="44"/>
      <c r="U4" s="54" t="s">
        <v>21</v>
      </c>
      <c r="V4" s="23"/>
    </row>
    <row r="5" spans="1:22" s="24" customFormat="1" ht="18">
      <c r="A5" s="64"/>
      <c r="B5" s="60"/>
      <c r="C5" s="61"/>
      <c r="D5" s="61"/>
      <c r="E5" s="62"/>
      <c r="F5" s="43" t="s">
        <v>22</v>
      </c>
      <c r="G5" s="44"/>
      <c r="H5" s="44"/>
      <c r="I5" s="44"/>
      <c r="J5" s="44"/>
      <c r="K5" s="44"/>
      <c r="L5" s="44"/>
      <c r="M5" s="44"/>
      <c r="N5" s="44"/>
      <c r="O5" s="45"/>
      <c r="P5" s="43" t="s">
        <v>7</v>
      </c>
      <c r="Q5" s="44"/>
      <c r="R5" s="44"/>
      <c r="S5" s="44"/>
      <c r="T5" s="52" t="s">
        <v>0</v>
      </c>
      <c r="U5" s="55"/>
      <c r="V5" s="25"/>
    </row>
    <row r="6" spans="1:22" s="24" customFormat="1" ht="90">
      <c r="A6" s="65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3"/>
      <c r="U6" s="56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20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20" si="15">SUM(O18,S18)</f>
        <v>2827585.3</v>
      </c>
      <c r="U18" s="30">
        <f t="shared" ref="U18:U20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f>593226.4-734574.5</f>
        <v>-141348.09999999998</v>
      </c>
      <c r="C20" s="31">
        <f>185283.8-366326.2</f>
        <v>-181042.40000000002</v>
      </c>
      <c r="D20" s="31">
        <v>-210</v>
      </c>
      <c r="E20" s="30">
        <f t="shared" ref="E20" si="20">+SUM(B20:D20)</f>
        <v>-322600.5</v>
      </c>
      <c r="F20" s="31">
        <v>36124.9</v>
      </c>
      <c r="G20" s="31">
        <f>135495.9+1574632.6+105929.2</f>
        <v>1816057.7</v>
      </c>
      <c r="H20" s="31"/>
      <c r="I20" s="31">
        <f>17657.2+97957+113333.3+17520.8+4668.9+28191.3+10728.2</f>
        <v>290056.7</v>
      </c>
      <c r="J20" s="31">
        <v>0</v>
      </c>
      <c r="K20" s="31">
        <v>690961.7</v>
      </c>
      <c r="L20" s="32">
        <f t="shared" ref="L20" si="21">+SUM(F20:K20)</f>
        <v>2833201</v>
      </c>
      <c r="M20" s="31">
        <v>824959</v>
      </c>
      <c r="N20" s="30">
        <v>75800.899999999994</v>
      </c>
      <c r="O20" s="32">
        <f t="shared" si="8"/>
        <v>1932441.1</v>
      </c>
      <c r="P20" s="37">
        <f>24992.2+101.6</f>
        <v>25093.8</v>
      </c>
      <c r="Q20" s="32">
        <f>2257840.8+5112.7+63987.2</f>
        <v>2326940.7000000002</v>
      </c>
      <c r="R20" s="32">
        <v>256.5</v>
      </c>
      <c r="S20" s="30">
        <f t="shared" ref="S20" si="22">SUM(P20:R20)</f>
        <v>2352291</v>
      </c>
      <c r="T20" s="34">
        <f t="shared" si="15"/>
        <v>4284732.0999999996</v>
      </c>
      <c r="U20" s="30">
        <f t="shared" si="16"/>
        <v>3962131.5999999996</v>
      </c>
    </row>
    <row r="21" spans="1:22" s="36" customFormat="1" ht="15.75">
      <c r="A21" s="46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5"/>
    </row>
    <row r="22" spans="1:22" s="36" customFormat="1" ht="15.7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2022-05-03T15:00:43Z</dcterms:modified>
</cp:coreProperties>
</file>