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46" i="5" l="1"/>
  <c r="P146" i="5"/>
  <c r="S146" i="5" s="1"/>
  <c r="I146" i="5"/>
  <c r="G146" i="5"/>
  <c r="L146" i="5" s="1"/>
  <c r="O146" i="5" s="1"/>
  <c r="T146" i="5" s="1"/>
  <c r="E146" i="5"/>
  <c r="C146" i="5"/>
  <c r="B146" i="5"/>
  <c r="U146" i="5" l="1"/>
  <c r="P52" i="6" l="1"/>
  <c r="S52" i="6" s="1"/>
  <c r="I52" i="6"/>
  <c r="G52" i="6"/>
  <c r="C52" i="6"/>
  <c r="B52" i="6"/>
  <c r="S51" i="6"/>
  <c r="G51" i="6"/>
  <c r="L51" i="6" s="1"/>
  <c r="O51" i="6" s="1"/>
  <c r="E51" i="6"/>
  <c r="S50" i="6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39" i="5"/>
  <c r="E140" i="5"/>
  <c r="E141" i="5"/>
  <c r="E142" i="5"/>
  <c r="L139" i="5"/>
  <c r="O139" i="5" s="1"/>
  <c r="L140" i="5"/>
  <c r="O140" i="5" s="1"/>
  <c r="L142" i="5"/>
  <c r="O142" i="5" s="1"/>
  <c r="S139" i="5"/>
  <c r="S140" i="5"/>
  <c r="S141" i="5"/>
  <c r="S142" i="5"/>
  <c r="P145" i="5"/>
  <c r="S145" i="5" s="1"/>
  <c r="I145" i="5"/>
  <c r="G145" i="5"/>
  <c r="L145" i="5" s="1"/>
  <c r="O145" i="5" s="1"/>
  <c r="C145" i="5"/>
  <c r="B145" i="5"/>
  <c r="E145" i="5" s="1"/>
  <c r="P144" i="5"/>
  <c r="S144" i="5" s="1"/>
  <c r="I144" i="5"/>
  <c r="G144" i="5"/>
  <c r="L144" i="5" s="1"/>
  <c r="O144" i="5" s="1"/>
  <c r="C144" i="5"/>
  <c r="B144" i="5"/>
  <c r="E144" i="5" s="1"/>
  <c r="P143" i="5"/>
  <c r="S143" i="5" s="1"/>
  <c r="I143" i="5"/>
  <c r="G143" i="5"/>
  <c r="L143" i="5" s="1"/>
  <c r="O143" i="5" s="1"/>
  <c r="C143" i="5"/>
  <c r="E143" i="5" s="1"/>
  <c r="B143" i="5"/>
  <c r="I142" i="5"/>
  <c r="G142" i="5"/>
  <c r="C142" i="5"/>
  <c r="B142" i="5"/>
  <c r="G141" i="5"/>
  <c r="L141" i="5" s="1"/>
  <c r="O141" i="5" s="1"/>
  <c r="T141" i="5" s="1"/>
  <c r="U141" i="5" s="1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O127" i="5"/>
  <c r="T127" i="5" s="1"/>
  <c r="U127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L52" i="6" l="1"/>
  <c r="O52" i="6" s="1"/>
  <c r="T52" i="6" s="1"/>
  <c r="T49" i="6"/>
  <c r="U49" i="6" s="1"/>
  <c r="E52" i="6"/>
  <c r="T50" i="6"/>
  <c r="U50" i="6" s="1"/>
  <c r="T48" i="6"/>
  <c r="U48" i="6" s="1"/>
  <c r="T51" i="6"/>
  <c r="U51" i="6" s="1"/>
  <c r="T47" i="6"/>
  <c r="U47" i="6" s="1"/>
  <c r="T130" i="5"/>
  <c r="U130" i="5" s="1"/>
  <c r="T140" i="5"/>
  <c r="U140" i="5" s="1"/>
  <c r="T131" i="5"/>
  <c r="T139" i="5"/>
  <c r="U139" i="5" s="1"/>
  <c r="T144" i="5"/>
  <c r="U144" i="5" s="1"/>
  <c r="T143" i="5"/>
  <c r="U143" i="5" s="1"/>
  <c r="T145" i="5"/>
  <c r="U145" i="5" s="1"/>
  <c r="T142" i="5"/>
  <c r="U142" i="5" s="1"/>
  <c r="T135" i="5"/>
  <c r="U135" i="5" s="1"/>
  <c r="T138" i="5"/>
  <c r="U138" i="5" s="1"/>
  <c r="T137" i="5"/>
  <c r="U137" i="5" s="1"/>
  <c r="T129" i="5"/>
  <c r="U129" i="5" s="1"/>
  <c r="T132" i="5"/>
  <c r="U132" i="5" s="1"/>
  <c r="U131" i="5"/>
  <c r="T128" i="5"/>
  <c r="U128" i="5" s="1"/>
  <c r="T136" i="5"/>
  <c r="U136" i="5" s="1"/>
  <c r="T134" i="5"/>
  <c r="U134" i="5" s="1"/>
  <c r="T133" i="5"/>
  <c r="U133" i="5" s="1"/>
  <c r="U52" i="6" l="1"/>
  <c r="S17" i="7" l="1"/>
  <c r="L17" i="7"/>
  <c r="O17" i="7" s="1"/>
  <c r="T17" i="7" s="1"/>
  <c r="U17" i="7" s="1"/>
  <c r="E17" i="7"/>
  <c r="Q16" i="7"/>
  <c r="P16" i="7"/>
  <c r="S16" i="7" s="1"/>
  <c r="G16" i="7"/>
  <c r="L16" i="7" s="1"/>
  <c r="O16" i="7" s="1"/>
  <c r="C16" i="7"/>
  <c r="E16" i="7" s="1"/>
  <c r="T16" i="7" l="1"/>
  <c r="U16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87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U18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<sst xmlns="http://schemas.openxmlformats.org/spreadsheetml/2006/main" count="366" uniqueCount="75">
  <si>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</si>
  <si>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</si>
  <si>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</si>
  <si>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</si>
  <si>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</si>
  <si>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</si>
  <si>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</si>
  <si>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</si>
  <si>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</si>
  <si>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</si>
  <si>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</si>
  <si>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</si>
  <si>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</si>
  <si>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</si>
  <si>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</si>
  <si>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</si>
  <si>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</si>
  <si>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</si>
  <si>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</si>
  <si>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</si>
  <si>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</si>
  <si>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</si>
  <si>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</si>
  <si>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</si>
  <si>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</si>
  <si>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</si>
  <si>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</si>
  <si>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</si>
  <si>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</si>
  <si>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</si>
  <si>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</si>
  <si>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</si>
  <si>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</si>
  <si>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</si>
  <si>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</si>
  <si>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</si>
  <si>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</si>
  <si>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</si>
  <si>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</si>
  <si>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</si>
  <si>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</si>
  <si>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</si>
  <si>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</si>
  <si>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</si>
  <si>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</si>
  <si>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</si>
  <si>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</si>
  <si>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</si>
  <si>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</si>
  <si>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</si>
  <si>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</si>
  <si>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</si>
  <si>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</si>
  <si>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</si>
  <si>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</si>
  <si>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</si>
  <si>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</si>
  <si>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</si>
  <si>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</si>
  <si>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</si>
  <si>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</si>
  <si>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</si>
  <si>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</si>
  <si>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2018</t>
  </si>
  <si>
    <t>Etablissements de Microfinance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</si>
  <si>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</si>
  <si>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</si>
  <si>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</si>
  <si>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</si>
  <si>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</si>
  <si>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</si>
  <si>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</si>
  <si>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</si>
  <si>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</si>
  <si>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Mai-19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</si>
</sst>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B_u_-;\-* #,##0.00\ _F_B_u_-;_-* &quot;-&quot;??\ _F_B_u_-;_-@_-"/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73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7" fontId="14" fillId="0" borderId="10" xfId="0" quotePrefix="1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  <xf numFmtId="165" fontId="19" fillId="0" borderId="0" xfId="0" applyFont="1" applyFill="1"/>
    <xf numFmtId="166" fontId="20" fillId="0" borderId="0" xfId="2" applyNumberFormat="1" applyFont="1" applyFill="1" applyAlignment="1" applyProtection="1">
      <alignment horizontal="right"/>
    </xf>
    <xf numFmtId="167" fontId="14" fillId="0" borderId="4" xfId="0" quotePrefix="1" applyNumberFormat="1" applyFont="1" applyFill="1" applyBorder="1" applyAlignment="1" applyProtection="1">
      <alignment horizontal="center"/>
    </xf>
    <xf numFmtId="166" fontId="14" fillId="0" borderId="5" xfId="0" quotePrefix="1" applyNumberFormat="1" applyFont="1" applyFill="1" applyBorder="1" applyAlignment="1" applyProtection="1">
      <alignment horizontal="center"/>
    </xf>
    <xf numFmtId="166" fontId="14" fillId="0" borderId="5" xfId="0" applyNumberFormat="1" applyFont="1" applyFill="1" applyBorder="1" applyAlignment="1" applyProtection="1">
      <alignment horizontal="center"/>
    </xf>
    <xf numFmtId="166" fontId="14" fillId="2" borderId="5" xfId="0" applyNumberFormat="1" applyFont="1" applyFill="1" applyBorder="1" applyAlignment="1" applyProtection="1">
      <alignment horizontal="center"/>
    </xf>
    <xf numFmtId="165" fontId="14" fillId="0" borderId="5" xfId="0" applyNumberFormat="1" applyFont="1" applyBorder="1" applyAlignment="1" applyProtection="1">
      <alignment horizontal="center"/>
    </xf>
    <xf numFmtId="166" fontId="14" fillId="0" borderId="6" xfId="0" applyNumberFormat="1" applyFont="1" applyFill="1" applyBorder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C4" workbookViewId="0">
      <selection activeCell="D18" sqref="D18"/>
    </sheetView>
  </sheetViews>
  <sheetFormatPr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43708</v>
      </c>
    </row>
    <row r="13" spans="2:5">
      <c r="B13" s="7" t="s">
        <v>31</v>
      </c>
      <c r="C13" s="8" t="s">
        <v>60</v>
      </c>
      <c r="D13" s="8" t="s">
        <v>31</v>
      </c>
      <c r="E13" s="10" t="s">
        <v>69</v>
      </c>
    </row>
    <row r="14" spans="2:5">
      <c r="B14" s="7" t="s">
        <v>32</v>
      </c>
      <c r="C14" s="8" t="s">
        <v>38</v>
      </c>
      <c r="D14" s="8" t="s">
        <v>32</v>
      </c>
      <c r="E14" s="9" t="s">
        <v>63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49"/>
  <sheetViews>
    <sheetView tabSelected="1" workbookViewId="0">
      <pane xSplit="1" ySplit="6" topLeftCell="R142" activePane="bottomRight" state="frozen"/>
      <selection pane="topRight" activeCell="B1" sqref="B1"/>
      <selection pane="bottomLeft" activeCell="A7" sqref="A7"/>
      <selection pane="bottomRight" activeCell="T146" sqref="T146"/>
    </sheetView>
  </sheetViews>
  <sheetFormatPr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1" t="s">
        <v>55</v>
      </c>
      <c r="G2" s="41"/>
      <c r="H2" s="41"/>
    </row>
    <row r="3" spans="1:21" ht="21" customHeight="1"/>
    <row r="4" spans="1:21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</row>
    <row r="5" spans="1:21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</row>
    <row r="6" spans="1:21" s="24" customFormat="1" ht="90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</row>
    <row r="38" spans="1:21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</row>
    <row r="67" spans="1:21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</row>
    <row r="68" spans="1:21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</row>
    <row r="69" spans="1:21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</row>
    <row r="70" spans="1:21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</row>
    <row r="71" spans="1:21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34" si="8">SUM(F71:K71)</f>
        <v>486831.0833</v>
      </c>
      <c r="M71" s="34">
        <v>199125.4167</v>
      </c>
      <c r="N71" s="31">
        <v>19112.000000000004</v>
      </c>
      <c r="O71" s="33">
        <f t="shared" ref="O71:O134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</row>
    <row r="72" spans="1:21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35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</row>
    <row r="73" spans="1:21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</row>
    <row r="74" spans="1:21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</row>
    <row r="75" spans="1:21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</row>
    <row r="76" spans="1:21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</row>
    <row r="77" spans="1:21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</row>
    <row r="78" spans="1:21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</row>
    <row r="79" spans="1:21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</row>
    <row r="80" spans="1:21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</row>
    <row r="81" spans="1:21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44" si="13">SUM(P81:R81)</f>
        <v>781900.625</v>
      </c>
      <c r="T81" s="35">
        <f t="shared" si="6"/>
        <v>1064787.5</v>
      </c>
      <c r="U81" s="31">
        <f t="shared" si="10"/>
        <v>1275638.45</v>
      </c>
    </row>
    <row r="82" spans="1:21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</row>
    <row r="83" spans="1:21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</row>
    <row r="84" spans="1:21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</row>
    <row r="85" spans="1:21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</row>
    <row r="86" spans="1:21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</row>
    <row r="87" spans="1:21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</row>
    <row r="88" spans="1:21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</row>
    <row r="89" spans="1:21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</row>
    <row r="90" spans="1:21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</row>
    <row r="91" spans="1:21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</row>
    <row r="92" spans="1:21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</row>
    <row r="93" spans="1:21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</row>
    <row r="94" spans="1:21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</row>
    <row r="95" spans="1:21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45" si="15">S103+O103</f>
        <v>1525853.7583333333</v>
      </c>
      <c r="U103" s="31">
        <f t="shared" ref="U103:U145" si="16">T103+E103</f>
        <v>1406619.7583333333</v>
      </c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</row>
    <row r="127" spans="1:21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 t="shared" si="11"/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si="8"/>
        <v>1437553.05</v>
      </c>
      <c r="M127" s="32">
        <v>273185</v>
      </c>
      <c r="N127" s="31">
        <v>53988.5</v>
      </c>
      <c r="O127" s="33">
        <f t="shared" si="9"/>
        <v>1110379.55</v>
      </c>
      <c r="P127" s="38">
        <v>25425.200000000001</v>
      </c>
      <c r="Q127" s="33">
        <v>861275.6</v>
      </c>
      <c r="R127" s="33">
        <v>4778.2</v>
      </c>
      <c r="S127" s="31">
        <f t="shared" si="13"/>
        <v>891478.99999999988</v>
      </c>
      <c r="T127" s="35">
        <f t="shared" si="15"/>
        <v>2001858.5499999998</v>
      </c>
      <c r="U127" s="31">
        <f t="shared" si="16"/>
        <v>1824350.0499999998</v>
      </c>
    </row>
    <row r="128" spans="1:21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si="11"/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8"/>
        <v>1468677.1</v>
      </c>
      <c r="M128" s="32">
        <v>274672.40000000002</v>
      </c>
      <c r="N128" s="31">
        <v>54895.000000000007</v>
      </c>
      <c r="O128" s="33">
        <f t="shared" si="9"/>
        <v>1139109.7000000002</v>
      </c>
      <c r="P128" s="38">
        <v>17299.899999999998</v>
      </c>
      <c r="Q128" s="33">
        <v>893761.9</v>
      </c>
      <c r="R128" s="33">
        <v>4731.8</v>
      </c>
      <c r="S128" s="31">
        <f t="shared" si="13"/>
        <v>915793.60000000009</v>
      </c>
      <c r="T128" s="35">
        <f t="shared" si="15"/>
        <v>2054903.3000000003</v>
      </c>
      <c r="U128" s="31">
        <f t="shared" si="16"/>
        <v>1926633.9000000001</v>
      </c>
    </row>
    <row r="129" spans="1:21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11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8"/>
        <v>1493251.9</v>
      </c>
      <c r="M129" s="32">
        <v>290474.59999999998</v>
      </c>
      <c r="N129" s="31">
        <v>56551.900000000009</v>
      </c>
      <c r="O129" s="33">
        <f t="shared" si="9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3"/>
        <v>908881.79999999993</v>
      </c>
      <c r="T129" s="35">
        <f t="shared" si="15"/>
        <v>2055107.1999999997</v>
      </c>
      <c r="U129" s="31">
        <f t="shared" si="16"/>
        <v>1885811.6999999997</v>
      </c>
    </row>
    <row r="130" spans="1:21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11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8"/>
        <v>1491825.166666667</v>
      </c>
      <c r="M130" s="32">
        <v>289983.09999999998</v>
      </c>
      <c r="N130" s="31">
        <v>59990</v>
      </c>
      <c r="O130" s="33">
        <f t="shared" si="9"/>
        <v>1141852.0666666669</v>
      </c>
      <c r="P130" s="38">
        <v>14505.4</v>
      </c>
      <c r="Q130" s="33">
        <v>894409.2</v>
      </c>
      <c r="R130" s="33">
        <v>4964</v>
      </c>
      <c r="S130" s="31">
        <f t="shared" si="13"/>
        <v>913878.6</v>
      </c>
      <c r="T130" s="35">
        <f t="shared" si="15"/>
        <v>2055730.666666667</v>
      </c>
      <c r="U130" s="31">
        <f t="shared" si="16"/>
        <v>1898605.3666666669</v>
      </c>
    </row>
    <row r="131" spans="1:21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11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8"/>
        <v>1518882.833333333</v>
      </c>
      <c r="M131" s="32">
        <v>293405.5</v>
      </c>
      <c r="N131" s="31">
        <v>59494.400000000001</v>
      </c>
      <c r="O131" s="33">
        <f t="shared" si="9"/>
        <v>1165982.9333333331</v>
      </c>
      <c r="P131" s="38">
        <v>14832.3</v>
      </c>
      <c r="Q131" s="33">
        <v>889153.7</v>
      </c>
      <c r="R131" s="33">
        <v>5359.7</v>
      </c>
      <c r="S131" s="31">
        <f t="shared" si="13"/>
        <v>909345.7</v>
      </c>
      <c r="T131" s="35">
        <f t="shared" si="15"/>
        <v>2075328.6333333331</v>
      </c>
      <c r="U131" s="31">
        <f t="shared" si="16"/>
        <v>1901146.533333333</v>
      </c>
    </row>
    <row r="132" spans="1:21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11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8"/>
        <v>1641511.9</v>
      </c>
      <c r="M132" s="32">
        <v>398416.1</v>
      </c>
      <c r="N132" s="31">
        <v>53521.5</v>
      </c>
      <c r="O132" s="33">
        <f t="shared" si="9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3"/>
        <v>970380</v>
      </c>
      <c r="T132" s="35">
        <f t="shared" si="15"/>
        <v>2159954.2999999998</v>
      </c>
      <c r="U132" s="31">
        <f t="shared" si="16"/>
        <v>1958698.5999999999</v>
      </c>
    </row>
    <row r="133" spans="1:21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11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8"/>
        <v>1602052.7333333334</v>
      </c>
      <c r="M133" s="32">
        <v>349061.9</v>
      </c>
      <c r="N133" s="31">
        <v>47099.000000000007</v>
      </c>
      <c r="O133" s="33">
        <f t="shared" si="9"/>
        <v>1205891.8333333335</v>
      </c>
      <c r="P133" s="38">
        <v>27074.999999999996</v>
      </c>
      <c r="Q133" s="33">
        <v>975970.7</v>
      </c>
      <c r="R133" s="33">
        <v>5486.6</v>
      </c>
      <c r="S133" s="31">
        <f t="shared" si="13"/>
        <v>1008532.2999999999</v>
      </c>
      <c r="T133" s="35">
        <f t="shared" si="15"/>
        <v>2214424.1333333333</v>
      </c>
      <c r="U133" s="31">
        <f t="shared" si="16"/>
        <v>2014672.0333333332</v>
      </c>
    </row>
    <row r="134" spans="1:21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11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8"/>
        <v>1628541.9666666666</v>
      </c>
      <c r="M134" s="32">
        <v>340200.7</v>
      </c>
      <c r="N134" s="31">
        <v>61491.499999999993</v>
      </c>
      <c r="O134" s="33">
        <f t="shared" si="9"/>
        <v>1226849.7666666666</v>
      </c>
      <c r="P134" s="38">
        <v>36096.699999999997</v>
      </c>
      <c r="Q134" s="33">
        <v>976985.2</v>
      </c>
      <c r="R134" s="33">
        <v>5519.4</v>
      </c>
      <c r="S134" s="31">
        <f t="shared" si="13"/>
        <v>1018601.2999999999</v>
      </c>
      <c r="T134" s="35">
        <f t="shared" si="15"/>
        <v>2245451.0666666664</v>
      </c>
      <c r="U134" s="31">
        <f t="shared" si="16"/>
        <v>2036693.1666666665</v>
      </c>
    </row>
    <row r="135" spans="1:21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11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ref="L135:L145" si="17">SUM(F135:K135)</f>
        <v>1658161.8000000003</v>
      </c>
      <c r="M135" s="32">
        <v>353050.4</v>
      </c>
      <c r="N135" s="31">
        <v>67423.399999999994</v>
      </c>
      <c r="O135" s="33">
        <f t="shared" ref="O135:O145" si="18">L135-M135-N135</f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3"/>
        <v>1027560.8</v>
      </c>
      <c r="T135" s="35">
        <f t="shared" si="15"/>
        <v>2265248.8000000007</v>
      </c>
      <c r="U135" s="31">
        <f t="shared" si="16"/>
        <v>2047964.1000000006</v>
      </c>
    </row>
    <row r="136" spans="1:21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ref="E136:E145" si="19">SUM(B136:D136)</f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358860.4</v>
      </c>
      <c r="N136" s="31">
        <v>71166.3</v>
      </c>
      <c r="O136" s="33">
        <f t="shared" si="18"/>
        <v>1273711.0333333334</v>
      </c>
      <c r="P136" s="38">
        <v>44255.700000000012</v>
      </c>
      <c r="Q136" s="33">
        <v>1011544.2</v>
      </c>
      <c r="R136" s="33">
        <v>5786.5</v>
      </c>
      <c r="S136" s="31">
        <f t="shared" si="13"/>
        <v>1061586.3999999999</v>
      </c>
      <c r="T136" s="35">
        <f t="shared" si="15"/>
        <v>2335297.4333333336</v>
      </c>
      <c r="U136" s="31">
        <f t="shared" si="16"/>
        <v>2123878.7333333334</v>
      </c>
    </row>
    <row r="137" spans="1:21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19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349956.5</v>
      </c>
      <c r="N137" s="31">
        <v>64784.799999999996</v>
      </c>
      <c r="O137" s="33">
        <f t="shared" si="18"/>
        <v>1312347.9666666666</v>
      </c>
      <c r="P137" s="38">
        <v>42729.400000000009</v>
      </c>
      <c r="Q137" s="33">
        <v>1016711.4</v>
      </c>
      <c r="R137" s="33">
        <v>5665.9</v>
      </c>
      <c r="S137" s="31">
        <f t="shared" si="13"/>
        <v>1065106.7</v>
      </c>
      <c r="T137" s="35">
        <f t="shared" si="15"/>
        <v>2377454.6666666665</v>
      </c>
      <c r="U137" s="31">
        <f t="shared" si="16"/>
        <v>2182740.2666666666</v>
      </c>
    </row>
    <row r="138" spans="1:21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si="19"/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983859.20000000019</v>
      </c>
      <c r="R138" s="33">
        <v>6028.8</v>
      </c>
      <c r="S138" s="31">
        <f t="shared" si="13"/>
        <v>1031951.6000000002</v>
      </c>
      <c r="T138" s="35">
        <f t="shared" si="15"/>
        <v>2369485.6</v>
      </c>
      <c r="U138" s="31">
        <f t="shared" si="16"/>
        <v>2166284.6</v>
      </c>
    </row>
    <row r="139" spans="1:21" s="37" customFormat="1" ht="18">
      <c r="A139" s="30" t="s">
        <v>65</v>
      </c>
      <c r="B139" s="32">
        <v>-182568.59999999998</v>
      </c>
      <c r="C139" s="32">
        <v>-55757.799999999988</v>
      </c>
      <c r="D139" s="32" t="s">
        <v>2</v>
      </c>
      <c r="E139" s="31">
        <f t="shared" si="19"/>
        <v>-238326.39999999997</v>
      </c>
      <c r="F139" s="32">
        <v>174198.6</v>
      </c>
      <c r="G139" s="32">
        <v>986516.79999999993</v>
      </c>
      <c r="H139" s="32"/>
      <c r="I139" s="32">
        <v>59277.799999999996</v>
      </c>
      <c r="J139" s="32">
        <v>40405.800000000003</v>
      </c>
      <c r="K139" s="32">
        <v>521293.6</v>
      </c>
      <c r="L139" s="33">
        <f t="shared" si="17"/>
        <v>1781692.6</v>
      </c>
      <c r="M139" s="32">
        <v>370633.2</v>
      </c>
      <c r="N139" s="31">
        <v>61052.1</v>
      </c>
      <c r="O139" s="33">
        <f t="shared" si="18"/>
        <v>1350007.3</v>
      </c>
      <c r="P139" s="38">
        <v>36041.299999999996</v>
      </c>
      <c r="Q139" s="33">
        <v>977163.1</v>
      </c>
      <c r="R139" s="33">
        <v>6363.7</v>
      </c>
      <c r="S139" s="31">
        <f t="shared" si="13"/>
        <v>1019568.1</v>
      </c>
      <c r="T139" s="35">
        <f t="shared" si="15"/>
        <v>2369575.4</v>
      </c>
      <c r="U139" s="31">
        <f t="shared" si="16"/>
        <v>2131249</v>
      </c>
    </row>
    <row r="140" spans="1:21" s="37" customFormat="1" ht="18">
      <c r="A140" s="30" t="s">
        <v>66</v>
      </c>
      <c r="B140" s="32">
        <v>-148014.80000000002</v>
      </c>
      <c r="C140" s="32">
        <v>-56830.499999999971</v>
      </c>
      <c r="D140" s="32" t="s">
        <v>2</v>
      </c>
      <c r="E140" s="31">
        <f t="shared" si="19"/>
        <v>-204845.3</v>
      </c>
      <c r="F140" s="32">
        <v>195688.4</v>
      </c>
      <c r="G140" s="32">
        <v>1016767.7000000001</v>
      </c>
      <c r="H140" s="32"/>
      <c r="I140" s="32">
        <v>59539.399999999994</v>
      </c>
      <c r="J140" s="32">
        <v>39012.5</v>
      </c>
      <c r="K140" s="32">
        <v>520084.5</v>
      </c>
      <c r="L140" s="33">
        <f t="shared" si="17"/>
        <v>1831092.5</v>
      </c>
      <c r="M140" s="32">
        <v>368080.4</v>
      </c>
      <c r="N140" s="31">
        <v>64711.1</v>
      </c>
      <c r="O140" s="33">
        <f t="shared" si="18"/>
        <v>1398301</v>
      </c>
      <c r="P140" s="38">
        <v>34014.400000000001</v>
      </c>
      <c r="Q140" s="33">
        <v>991824.5</v>
      </c>
      <c r="R140" s="33">
        <v>6912.9</v>
      </c>
      <c r="S140" s="31">
        <f t="shared" si="13"/>
        <v>1032751.8</v>
      </c>
      <c r="T140" s="35">
        <f t="shared" si="15"/>
        <v>2431052.7999999998</v>
      </c>
      <c r="U140" s="31">
        <f t="shared" si="16"/>
        <v>2226207.5</v>
      </c>
    </row>
    <row r="141" spans="1:21" s="37" customFormat="1" ht="18">
      <c r="A141" s="30" t="s">
        <v>67</v>
      </c>
      <c r="B141" s="32">
        <v>-166782.39999999999</v>
      </c>
      <c r="C141" s="32">
        <v>-62620.70000000007</v>
      </c>
      <c r="D141" s="32" t="s">
        <v>2</v>
      </c>
      <c r="E141" s="31">
        <f t="shared" si="19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59993.5</v>
      </c>
      <c r="J141" s="32">
        <v>36225.9</v>
      </c>
      <c r="K141" s="32">
        <v>518306</v>
      </c>
      <c r="L141" s="33">
        <f t="shared" si="17"/>
        <v>1873915.0999999999</v>
      </c>
      <c r="M141" s="32">
        <v>412450</v>
      </c>
      <c r="N141" s="31">
        <v>58269.8</v>
      </c>
      <c r="O141" s="33">
        <f t="shared" si="18"/>
        <v>1403195.2999999998</v>
      </c>
      <c r="P141" s="38">
        <v>32296.6</v>
      </c>
      <c r="Q141" s="33">
        <v>1008148.3000000002</v>
      </c>
      <c r="R141" s="33">
        <v>6662.7</v>
      </c>
      <c r="S141" s="31">
        <f t="shared" si="13"/>
        <v>1047107.6000000001</v>
      </c>
      <c r="T141" s="35">
        <f t="shared" si="15"/>
        <v>2450302.9</v>
      </c>
      <c r="U141" s="31">
        <f t="shared" si="16"/>
        <v>2220899.7999999998</v>
      </c>
    </row>
    <row r="142" spans="1:21" s="37" customFormat="1" ht="18">
      <c r="A142" s="30" t="s">
        <v>68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19"/>
        <v>-236973.7</v>
      </c>
      <c r="F142" s="32">
        <v>195994.1</v>
      </c>
      <c r="G142" s="32">
        <f>50233.1+1006432.8+19500</f>
        <v>1076165.9000000001</v>
      </c>
      <c r="H142" s="32"/>
      <c r="I142" s="32">
        <f>16025.6+44311.4</f>
        <v>60337</v>
      </c>
      <c r="J142" s="32">
        <v>36225.9</v>
      </c>
      <c r="K142" s="32">
        <v>517334.5</v>
      </c>
      <c r="L142" s="33">
        <f t="shared" si="17"/>
        <v>1886057.4000000001</v>
      </c>
      <c r="M142" s="32">
        <v>390323.7</v>
      </c>
      <c r="N142" s="31">
        <v>56955.6</v>
      </c>
      <c r="O142" s="33">
        <f t="shared" si="18"/>
        <v>1438778.1</v>
      </c>
      <c r="P142" s="38">
        <v>33330.999999999993</v>
      </c>
      <c r="Q142" s="33">
        <v>1004160.3</v>
      </c>
      <c r="R142" s="33">
        <v>6674.3</v>
      </c>
      <c r="S142" s="31">
        <f t="shared" si="13"/>
        <v>1044165.6000000001</v>
      </c>
      <c r="T142" s="35">
        <f t="shared" si="15"/>
        <v>2482943.7000000002</v>
      </c>
      <c r="U142" s="31">
        <f t="shared" si="16"/>
        <v>2245970</v>
      </c>
    </row>
    <row r="143" spans="1:21" s="37" customFormat="1" ht="18">
      <c r="A143" s="30" t="s">
        <v>74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19"/>
        <v>-190248</v>
      </c>
      <c r="F143" s="32">
        <v>191866.3</v>
      </c>
      <c r="G143" s="32">
        <f>45273+1055617.8+16915</f>
        <v>1117805.8</v>
      </c>
      <c r="H143" s="32"/>
      <c r="I143" s="32">
        <f>16025.6+43211.6</f>
        <v>59237.2</v>
      </c>
      <c r="J143" s="32">
        <v>34832.6</v>
      </c>
      <c r="K143" s="32">
        <v>515247.9</v>
      </c>
      <c r="L143" s="33">
        <f t="shared" si="17"/>
        <v>1918989.8000000003</v>
      </c>
      <c r="M143" s="32">
        <v>428305.4</v>
      </c>
      <c r="N143" s="31">
        <v>67301.8</v>
      </c>
      <c r="O143" s="33">
        <f t="shared" si="18"/>
        <v>1423382.6000000003</v>
      </c>
      <c r="P143" s="38">
        <f>28149+101.6</f>
        <v>28250.6</v>
      </c>
      <c r="Q143" s="33">
        <v>1036819.9</v>
      </c>
      <c r="R143" s="33">
        <v>6967</v>
      </c>
      <c r="S143" s="31">
        <f t="shared" si="13"/>
        <v>1072037.5</v>
      </c>
      <c r="T143" s="35">
        <f t="shared" si="15"/>
        <v>2495420.1000000006</v>
      </c>
      <c r="U143" s="31">
        <f t="shared" si="16"/>
        <v>2305172.1000000006</v>
      </c>
    </row>
    <row r="144" spans="1:21" s="37" customFormat="1" ht="18">
      <c r="A144" s="30" t="s">
        <v>73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19"/>
        <v>-194252.90000000002</v>
      </c>
      <c r="F144" s="32">
        <v>216009.2</v>
      </c>
      <c r="G144" s="32">
        <f>42174.9+1084518.3+16965</f>
        <v>1143658.2</v>
      </c>
      <c r="H144" s="32"/>
      <c r="I144" s="32">
        <f>16025.6+40707.7</f>
        <v>56733.299999999996</v>
      </c>
      <c r="J144" s="32">
        <v>32046</v>
      </c>
      <c r="K144" s="32">
        <v>514038.8</v>
      </c>
      <c r="L144" s="33">
        <f t="shared" si="17"/>
        <v>1962485.5</v>
      </c>
      <c r="M144" s="32">
        <v>427944.6</v>
      </c>
      <c r="N144" s="31">
        <v>62402.2</v>
      </c>
      <c r="O144" s="33">
        <f t="shared" si="18"/>
        <v>1472138.7</v>
      </c>
      <c r="P144" s="38">
        <f>23367.3+101.6</f>
        <v>23468.899999999998</v>
      </c>
      <c r="Q144" s="33">
        <v>1073690.6000000001</v>
      </c>
      <c r="R144" s="33">
        <v>6546.1</v>
      </c>
      <c r="S144" s="31">
        <f t="shared" si="13"/>
        <v>1103705.6000000001</v>
      </c>
      <c r="T144" s="35">
        <f t="shared" si="15"/>
        <v>2575844.2999999998</v>
      </c>
      <c r="U144" s="31">
        <f t="shared" si="16"/>
        <v>2381591.4</v>
      </c>
    </row>
    <row r="145" spans="1:23" s="37" customFormat="1" ht="18">
      <c r="A145" s="30" t="s">
        <v>71</v>
      </c>
      <c r="B145" s="32">
        <f>166708.8-300474.7</f>
        <v>-133765.90000000002</v>
      </c>
      <c r="C145" s="32">
        <f>130910.8-231174</f>
        <v>-100263.2</v>
      </c>
      <c r="D145" s="32" t="s">
        <v>2</v>
      </c>
      <c r="E145" s="31">
        <f t="shared" si="19"/>
        <v>-234029.10000000003</v>
      </c>
      <c r="F145" s="32">
        <v>158917.5</v>
      </c>
      <c r="G145" s="32">
        <f>43953+1112283.8+13837</f>
        <v>1170073.8</v>
      </c>
      <c r="H145" s="32"/>
      <c r="I145" s="32">
        <f>16025.6+41061.9</f>
        <v>57087.5</v>
      </c>
      <c r="J145" s="32">
        <v>30652.7</v>
      </c>
      <c r="K145" s="32">
        <v>512829.7</v>
      </c>
      <c r="L145" s="33">
        <f t="shared" si="17"/>
        <v>1929561.2</v>
      </c>
      <c r="M145" s="32">
        <v>385742.2</v>
      </c>
      <c r="N145" s="31">
        <v>69016.7</v>
      </c>
      <c r="O145" s="33">
        <f t="shared" si="18"/>
        <v>1474802.3</v>
      </c>
      <c r="P145" s="38">
        <f>19521.9+101.6</f>
        <v>19623.5</v>
      </c>
      <c r="Q145" s="33">
        <v>1109224.2</v>
      </c>
      <c r="R145" s="33">
        <v>6695.5999999999995</v>
      </c>
      <c r="S145" s="31">
        <f t="shared" ref="S145" si="20">SUM(P145:R145)</f>
        <v>1135543.3</v>
      </c>
      <c r="T145" s="35">
        <f t="shared" si="15"/>
        <v>2610345.6</v>
      </c>
      <c r="U145" s="31">
        <f t="shared" si="16"/>
        <v>2376316.5</v>
      </c>
    </row>
    <row r="146" spans="1:23" s="37" customFormat="1" ht="18">
      <c r="A146" s="30" t="s">
        <v>72</v>
      </c>
      <c r="B146" s="32">
        <f>143964.8-295856.6</f>
        <v>-151891.79999999999</v>
      </c>
      <c r="C146" s="32">
        <f>131114.5-221742.4</f>
        <v>-90627.9</v>
      </c>
      <c r="D146" s="32" t="s">
        <v>2</v>
      </c>
      <c r="E146" s="31">
        <f t="shared" ref="E146" si="21">+SUM(B146:D146)</f>
        <v>-242519.69999999998</v>
      </c>
      <c r="F146" s="32">
        <v>0</v>
      </c>
      <c r="G146" s="32">
        <f>44613+1152737.1+15106</f>
        <v>1212456.1000000001</v>
      </c>
      <c r="H146" s="32"/>
      <c r="I146" s="32">
        <f>16025.6+41392</f>
        <v>57417.599999999999</v>
      </c>
      <c r="J146" s="32">
        <v>30652.7</v>
      </c>
      <c r="K146" s="32">
        <v>728838.8</v>
      </c>
      <c r="L146" s="33">
        <f t="shared" ref="L146" si="22">+SUM(F146:K146)</f>
        <v>2029365.2000000002</v>
      </c>
      <c r="M146" s="32">
        <v>467110.9</v>
      </c>
      <c r="N146" s="31">
        <v>76766.3</v>
      </c>
      <c r="O146" s="33">
        <f t="shared" ref="O146" si="23">+L146-M146-N146</f>
        <v>1485488.0000000002</v>
      </c>
      <c r="P146" s="38">
        <f>19534+101.6</f>
        <v>19635.599999999999</v>
      </c>
      <c r="Q146" s="33">
        <f>1065616.8+4640+41168.2</f>
        <v>1111425</v>
      </c>
      <c r="R146" s="33">
        <v>6755.2</v>
      </c>
      <c r="S146" s="31">
        <f t="shared" ref="S146" si="24">SUM(P146:R146)</f>
        <v>1137815.8</v>
      </c>
      <c r="T146" s="35">
        <f t="shared" ref="T146" si="25">SUM(O146,S146)</f>
        <v>2623303.8000000003</v>
      </c>
      <c r="U146" s="31">
        <f t="shared" ref="U146" si="26">SUM(E146,T146)</f>
        <v>2380784.1</v>
      </c>
    </row>
    <row r="147" spans="1:23" s="37" customFormat="1" ht="15.75">
      <c r="A147" s="67"/>
      <c r="B147" s="68"/>
      <c r="C147" s="68"/>
      <c r="D147" s="68"/>
      <c r="E147" s="69"/>
      <c r="F147" s="68"/>
      <c r="G147" s="68"/>
      <c r="H147" s="68"/>
      <c r="I147" s="68"/>
      <c r="J147" s="68"/>
      <c r="K147" s="68"/>
      <c r="L147" s="70"/>
      <c r="M147" s="68"/>
      <c r="N147" s="69"/>
      <c r="O147" s="70"/>
      <c r="P147" s="71"/>
      <c r="Q147" s="70"/>
      <c r="R147" s="70"/>
      <c r="S147" s="69"/>
      <c r="T147" s="69"/>
      <c r="U147" s="72"/>
    </row>
    <row r="148" spans="1:23" s="65" customFormat="1" ht="19.5">
      <c r="A148" s="45" t="s">
        <v>45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7"/>
      <c r="W148" s="66"/>
    </row>
    <row r="149" spans="1:23" s="37" customFormat="1" ht="15.75">
      <c r="A149" s="48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50"/>
    </row>
  </sheetData>
  <mergeCells count="10">
    <mergeCell ref="A148:U149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4"/>
  <sheetViews>
    <sheetView workbookViewId="0">
      <pane xSplit="1" ySplit="6" topLeftCell="R45" activePane="bottomRight" state="frozen"/>
      <selection pane="topRight" activeCell="B1" sqref="B1"/>
      <selection pane="bottomLeft" activeCell="A7" sqref="A7"/>
      <selection pane="bottomRight" activeCell="U49" sqref="U49"/>
    </sheetView>
  </sheetViews>
  <sheetFormatPr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1" t="s">
        <v>55</v>
      </c>
      <c r="F2" s="41"/>
      <c r="G2" s="41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1638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16382" s="24" customFormat="1" ht="126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52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52" si="7">SUM(F28:K28)</f>
        <v>489508.3</v>
      </c>
      <c r="M28" s="34">
        <v>190482.9</v>
      </c>
      <c r="N28" s="31">
        <v>15910.9</v>
      </c>
      <c r="O28" s="33">
        <f t="shared" ref="O28:O52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52" si="9">SUM(P28:R28)</f>
        <v>758772.8</v>
      </c>
      <c r="T28" s="35">
        <f t="shared" ref="T28:T52" si="10">S28+O28</f>
        <v>1041887.3</v>
      </c>
      <c r="U28" s="31">
        <f t="shared" ref="U28:U52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si="6"/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si="7"/>
        <v>1493251.9</v>
      </c>
      <c r="M47" s="32">
        <v>290474.59999999998</v>
      </c>
      <c r="N47" s="31">
        <v>56551.900000000009</v>
      </c>
      <c r="O47" s="33">
        <f t="shared" si="8"/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si="9"/>
        <v>908881.79999999993</v>
      </c>
      <c r="T47" s="35">
        <f t="shared" si="10"/>
        <v>2055107.1999999997</v>
      </c>
      <c r="U47" s="31">
        <f t="shared" si="11"/>
        <v>1885811.6999999997</v>
      </c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6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7"/>
        <v>1641511.9</v>
      </c>
      <c r="M48" s="32">
        <v>398416.1</v>
      </c>
      <c r="N48" s="31">
        <v>53521.5</v>
      </c>
      <c r="O48" s="33">
        <f t="shared" si="8"/>
        <v>1189574.2999999998</v>
      </c>
      <c r="P48" s="38">
        <v>24405.8</v>
      </c>
      <c r="Q48" s="33">
        <v>940441</v>
      </c>
      <c r="R48" s="33">
        <v>5533.2</v>
      </c>
      <c r="S48" s="31">
        <f t="shared" si="9"/>
        <v>970380</v>
      </c>
      <c r="T48" s="35">
        <f t="shared" si="10"/>
        <v>2159954.2999999998</v>
      </c>
      <c r="U48" s="31">
        <f t="shared" si="11"/>
        <v>1958698.5999999999</v>
      </c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6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7"/>
        <v>1658161.8000000003</v>
      </c>
      <c r="M49" s="32">
        <v>353050.4</v>
      </c>
      <c r="N49" s="31">
        <v>67423.399999999994</v>
      </c>
      <c r="O49" s="33">
        <f t="shared" si="8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9"/>
        <v>1027560.8</v>
      </c>
      <c r="T49" s="35">
        <f t="shared" si="10"/>
        <v>2265248.8000000007</v>
      </c>
      <c r="U49" s="31">
        <f t="shared" si="11"/>
        <v>2047964.1000000006</v>
      </c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si="6"/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7"/>
        <v>1763431.9</v>
      </c>
      <c r="M50" s="32">
        <v>353522.4</v>
      </c>
      <c r="N50" s="31">
        <v>72375.499999999985</v>
      </c>
      <c r="O50" s="33">
        <f t="shared" si="8"/>
        <v>1337534</v>
      </c>
      <c r="P50" s="38">
        <v>42063.6</v>
      </c>
      <c r="Q50" s="33">
        <v>983859.20000000019</v>
      </c>
      <c r="R50" s="33">
        <v>6028.8</v>
      </c>
      <c r="S50" s="31">
        <f t="shared" si="9"/>
        <v>1031951.6000000002</v>
      </c>
      <c r="T50" s="35">
        <f t="shared" si="10"/>
        <v>2369485.6</v>
      </c>
      <c r="U50" s="31">
        <f t="shared" si="11"/>
        <v>2166284.6</v>
      </c>
    </row>
    <row r="51" spans="1:22" s="37" customFormat="1" ht="18">
      <c r="A51" s="30" t="s">
        <v>67</v>
      </c>
      <c r="B51" s="32">
        <v>-166782.39999999999</v>
      </c>
      <c r="C51" s="32">
        <v>-62620.70000000007</v>
      </c>
      <c r="D51" s="32" t="s">
        <v>2</v>
      </c>
      <c r="E51" s="31">
        <f t="shared" si="6"/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59993.5</v>
      </c>
      <c r="J51" s="32">
        <v>36225.9</v>
      </c>
      <c r="K51" s="32">
        <v>518306</v>
      </c>
      <c r="L51" s="33">
        <f t="shared" si="7"/>
        <v>1873915.0999999999</v>
      </c>
      <c r="M51" s="32">
        <v>412450</v>
      </c>
      <c r="N51" s="31">
        <v>58269.8</v>
      </c>
      <c r="O51" s="33">
        <f t="shared" si="8"/>
        <v>1403195.2999999998</v>
      </c>
      <c r="P51" s="38">
        <v>32296.6</v>
      </c>
      <c r="Q51" s="33">
        <v>1008148.3000000002</v>
      </c>
      <c r="R51" s="33">
        <v>6662.7</v>
      </c>
      <c r="S51" s="31">
        <f t="shared" si="9"/>
        <v>1047107.6000000001</v>
      </c>
      <c r="T51" s="35">
        <f t="shared" si="10"/>
        <v>2450302.9</v>
      </c>
      <c r="U51" s="31">
        <f t="shared" si="11"/>
        <v>2220899.7999999998</v>
      </c>
    </row>
    <row r="52" spans="1:22" s="37" customFormat="1" ht="18">
      <c r="A52" s="30" t="s">
        <v>70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si="6"/>
        <v>-194252.90000000002</v>
      </c>
      <c r="F52" s="32">
        <v>216009.2</v>
      </c>
      <c r="G52" s="32">
        <f>42174.9+1084518.3+16965</f>
        <v>1143658.2</v>
      </c>
      <c r="H52" s="32"/>
      <c r="I52" s="32">
        <f>16025.6+40707.7</f>
        <v>56733.299999999996</v>
      </c>
      <c r="J52" s="32">
        <v>32046</v>
      </c>
      <c r="K52" s="32">
        <v>514038.8</v>
      </c>
      <c r="L52" s="33">
        <f t="shared" si="7"/>
        <v>1962485.5</v>
      </c>
      <c r="M52" s="32">
        <v>427944.6</v>
      </c>
      <c r="N52" s="31">
        <v>62402.2</v>
      </c>
      <c r="O52" s="33">
        <f t="shared" si="8"/>
        <v>1472138.7</v>
      </c>
      <c r="P52" s="38">
        <f>23367.3+101.6</f>
        <v>23468.899999999998</v>
      </c>
      <c r="Q52" s="33">
        <v>1073690.6000000001</v>
      </c>
      <c r="R52" s="33">
        <v>6546.1</v>
      </c>
      <c r="S52" s="31">
        <f t="shared" si="9"/>
        <v>1103705.6000000001</v>
      </c>
      <c r="T52" s="35">
        <f t="shared" si="10"/>
        <v>2575844.2999999998</v>
      </c>
      <c r="U52" s="31">
        <f t="shared" si="11"/>
        <v>2381591.4</v>
      </c>
    </row>
    <row r="53" spans="1:22" s="37" customFormat="1" ht="15.75">
      <c r="A53" s="45" t="s">
        <v>45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  <c r="V53" s="36"/>
    </row>
    <row r="54" spans="1:22" s="37" customFormat="1" ht="15.7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3:U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"/>
  <sheetViews>
    <sheetView workbookViewId="0">
      <pane xSplit="1" ySplit="6" topLeftCell="S13" activePane="bottomRight" state="frozen"/>
      <selection pane="topRight" activeCell="B1" sqref="B1"/>
      <selection pane="bottomLeft" activeCell="A7" sqref="A7"/>
      <selection pane="bottomRight" activeCell="V14" sqref="V14"/>
    </sheetView>
  </sheetViews>
  <sheetFormatPr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1" t="s">
        <v>55</v>
      </c>
      <c r="F2" s="41"/>
      <c r="G2" s="41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2" t="s">
        <v>46</v>
      </c>
      <c r="B4" s="56" t="s">
        <v>3</v>
      </c>
      <c r="C4" s="57"/>
      <c r="D4" s="57"/>
      <c r="E4" s="58"/>
      <c r="F4" s="42" t="s">
        <v>4</v>
      </c>
      <c r="G4" s="43"/>
      <c r="H4" s="43"/>
      <c r="I4" s="43"/>
      <c r="J4" s="43"/>
      <c r="K4" s="43"/>
      <c r="L4" s="43"/>
      <c r="M4" s="43"/>
      <c r="N4" s="43"/>
      <c r="O4" s="44"/>
      <c r="P4" s="42"/>
      <c r="Q4" s="43"/>
      <c r="R4" s="43"/>
      <c r="S4" s="43"/>
      <c r="T4" s="43"/>
      <c r="U4" s="53" t="s">
        <v>21</v>
      </c>
      <c r="V4" s="23"/>
    </row>
    <row r="5" spans="1:22" s="24" customFormat="1" ht="18">
      <c r="A5" s="63"/>
      <c r="B5" s="59"/>
      <c r="C5" s="60"/>
      <c r="D5" s="60"/>
      <c r="E5" s="61"/>
      <c r="F5" s="42" t="s">
        <v>22</v>
      </c>
      <c r="G5" s="43"/>
      <c r="H5" s="43"/>
      <c r="I5" s="43"/>
      <c r="J5" s="43"/>
      <c r="K5" s="43"/>
      <c r="L5" s="43"/>
      <c r="M5" s="43"/>
      <c r="N5" s="43"/>
      <c r="O5" s="44"/>
      <c r="P5" s="42" t="s">
        <v>7</v>
      </c>
      <c r="Q5" s="43"/>
      <c r="R5" s="43"/>
      <c r="S5" s="43"/>
      <c r="T5" s="51" t="s">
        <v>0</v>
      </c>
      <c r="U5" s="54"/>
      <c r="V5" s="25"/>
    </row>
    <row r="6" spans="1:22" s="24" customFormat="1" ht="90">
      <c r="A6" s="64"/>
      <c r="B6" s="27" t="s">
        <v>57</v>
      </c>
      <c r="C6" s="28" t="s">
        <v>47</v>
      </c>
      <c r="D6" s="28" t="s">
        <v>64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2"/>
      <c r="U6" s="55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7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5.75">
      <c r="A18" s="45" t="s">
        <v>45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  <c r="V18" s="36"/>
    </row>
    <row r="19" spans="1:22" s="37" customFormat="1" ht="15.7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  <c r="V19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8:U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2019-11-12T14:14:26Z</dcterms:modified>
</cp:coreProperties>
</file>