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tableaux site\tableaux site en Français\Tableaux site en français-MARS- 2024\"/>
    </mc:Choice>
  </mc:AlternateContent>
  <bookViews>
    <workbookView xWindow="0" yWindow="0" windowWidth="12090" windowHeight="7860" tabRatio="607" firstSheet="1" activeTab="2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S71" i="6" l="1"/>
  <c r="T71" i="6" s="1"/>
  <c r="U71" i="6" s="1"/>
  <c r="T201" i="5"/>
  <c r="U201" i="5" s="1"/>
  <c r="S201" i="5"/>
  <c r="S200" i="5"/>
  <c r="T200" i="5" s="1"/>
  <c r="U200" i="5" s="1"/>
  <c r="S67" i="6" l="1"/>
  <c r="Q67" i="6"/>
  <c r="P67" i="6"/>
  <c r="K67" i="6"/>
  <c r="I67" i="6"/>
  <c r="G67" i="6"/>
  <c r="L67" i="6" s="1"/>
  <c r="O67" i="6" s="1"/>
  <c r="T67" i="6" s="1"/>
  <c r="D67" i="6"/>
  <c r="C67" i="6"/>
  <c r="B67" i="6"/>
  <c r="E67" i="6" s="1"/>
  <c r="U67" i="6" l="1"/>
  <c r="Q199" i="5" l="1"/>
  <c r="S199" i="5" s="1"/>
  <c r="P199" i="5"/>
  <c r="L199" i="5"/>
  <c r="O199" i="5" s="1"/>
  <c r="K199" i="5"/>
  <c r="I199" i="5"/>
  <c r="G199" i="5"/>
  <c r="D199" i="5"/>
  <c r="C199" i="5"/>
  <c r="B199" i="5"/>
  <c r="E199" i="5" s="1"/>
  <c r="Q198" i="5"/>
  <c r="P198" i="5"/>
  <c r="S198" i="5" s="1"/>
  <c r="K198" i="5"/>
  <c r="I198" i="5"/>
  <c r="G198" i="5"/>
  <c r="L198" i="5" s="1"/>
  <c r="O198" i="5" s="1"/>
  <c r="D198" i="5"/>
  <c r="C198" i="5"/>
  <c r="B198" i="5"/>
  <c r="E198" i="5" s="1"/>
  <c r="S197" i="5"/>
  <c r="Q197" i="5"/>
  <c r="P197" i="5"/>
  <c r="K197" i="5"/>
  <c r="I197" i="5"/>
  <c r="G197" i="5"/>
  <c r="L197" i="5" s="1"/>
  <c r="O197" i="5" s="1"/>
  <c r="T197" i="5" s="1"/>
  <c r="D197" i="5"/>
  <c r="E197" i="5" s="1"/>
  <c r="U197" i="5" s="1"/>
  <c r="C197" i="5"/>
  <c r="B197" i="5"/>
  <c r="Q196" i="5"/>
  <c r="P196" i="5"/>
  <c r="S196" i="5" s="1"/>
  <c r="K196" i="5"/>
  <c r="I196" i="5"/>
  <c r="G196" i="5"/>
  <c r="L196" i="5" s="1"/>
  <c r="O196" i="5" s="1"/>
  <c r="T196" i="5" s="1"/>
  <c r="D196" i="5"/>
  <c r="C196" i="5"/>
  <c r="E196" i="5" s="1"/>
  <c r="B196" i="5"/>
  <c r="Q195" i="5"/>
  <c r="P195" i="5"/>
  <c r="S195" i="5" s="1"/>
  <c r="K195" i="5"/>
  <c r="L195" i="5" s="1"/>
  <c r="O195" i="5" s="1"/>
  <c r="T195" i="5" s="1"/>
  <c r="I195" i="5"/>
  <c r="G195" i="5"/>
  <c r="E195" i="5"/>
  <c r="D195" i="5"/>
  <c r="C195" i="5"/>
  <c r="B195" i="5"/>
  <c r="Q194" i="5"/>
  <c r="S194" i="5" s="1"/>
  <c r="P194" i="5"/>
  <c r="K194" i="5"/>
  <c r="I194" i="5"/>
  <c r="L194" i="5" s="1"/>
  <c r="O194" i="5" s="1"/>
  <c r="T194" i="5" s="1"/>
  <c r="G194" i="5"/>
  <c r="D194" i="5"/>
  <c r="C194" i="5"/>
  <c r="B194" i="5"/>
  <c r="E194" i="5" s="1"/>
  <c r="Q193" i="5"/>
  <c r="S193" i="5" s="1"/>
  <c r="P193" i="5"/>
  <c r="L193" i="5"/>
  <c r="O193" i="5" s="1"/>
  <c r="K193" i="5"/>
  <c r="I193" i="5"/>
  <c r="G193" i="5"/>
  <c r="D193" i="5"/>
  <c r="C193" i="5"/>
  <c r="B193" i="5"/>
  <c r="E193" i="5" s="1"/>
  <c r="Q192" i="5"/>
  <c r="P192" i="5"/>
  <c r="S192" i="5" s="1"/>
  <c r="K192" i="5"/>
  <c r="I192" i="5"/>
  <c r="G192" i="5"/>
  <c r="L192" i="5" s="1"/>
  <c r="O192" i="5" s="1"/>
  <c r="T192" i="5" s="1"/>
  <c r="D192" i="5"/>
  <c r="C192" i="5"/>
  <c r="B192" i="5"/>
  <c r="E192" i="5" s="1"/>
  <c r="S191" i="5"/>
  <c r="Q191" i="5"/>
  <c r="P191" i="5"/>
  <c r="K191" i="5"/>
  <c r="I191" i="5"/>
  <c r="G191" i="5"/>
  <c r="L191" i="5" s="1"/>
  <c r="O191" i="5" s="1"/>
  <c r="T191" i="5" s="1"/>
  <c r="D191" i="5"/>
  <c r="E191" i="5" s="1"/>
  <c r="U191" i="5" s="1"/>
  <c r="C191" i="5"/>
  <c r="B191" i="5"/>
  <c r="Q190" i="5"/>
  <c r="P190" i="5"/>
  <c r="S190" i="5" s="1"/>
  <c r="K190" i="5"/>
  <c r="I190" i="5"/>
  <c r="G190" i="5"/>
  <c r="L190" i="5" s="1"/>
  <c r="O190" i="5" s="1"/>
  <c r="D190" i="5"/>
  <c r="C190" i="5"/>
  <c r="E190" i="5" s="1"/>
  <c r="B190" i="5"/>
  <c r="Q189" i="5"/>
  <c r="P189" i="5"/>
  <c r="S189" i="5" s="1"/>
  <c r="K189" i="5"/>
  <c r="L189" i="5" s="1"/>
  <c r="O189" i="5" s="1"/>
  <c r="T189" i="5" s="1"/>
  <c r="I189" i="5"/>
  <c r="G189" i="5"/>
  <c r="E189" i="5"/>
  <c r="U189" i="5" s="1"/>
  <c r="D189" i="5"/>
  <c r="C189" i="5"/>
  <c r="B189" i="5"/>
  <c r="Q188" i="5"/>
  <c r="P188" i="5"/>
  <c r="S188" i="5" s="1"/>
  <c r="K188" i="5"/>
  <c r="I188" i="5"/>
  <c r="L188" i="5" s="1"/>
  <c r="O188" i="5" s="1"/>
  <c r="G188" i="5"/>
  <c r="D188" i="5"/>
  <c r="C188" i="5"/>
  <c r="B188" i="5"/>
  <c r="E188" i="5" s="1"/>
  <c r="Q187" i="5"/>
  <c r="S187" i="5" s="1"/>
  <c r="P187" i="5"/>
  <c r="L187" i="5"/>
  <c r="O187" i="5" s="1"/>
  <c r="K187" i="5"/>
  <c r="I187" i="5"/>
  <c r="G187" i="5"/>
  <c r="D187" i="5"/>
  <c r="C187" i="5"/>
  <c r="B187" i="5"/>
  <c r="E187" i="5" s="1"/>
  <c r="U190" i="5" l="1"/>
  <c r="T190" i="5"/>
  <c r="U199" i="5"/>
  <c r="T187" i="5"/>
  <c r="U196" i="5"/>
  <c r="U192" i="5"/>
  <c r="T193" i="5"/>
  <c r="U193" i="5" s="1"/>
  <c r="U195" i="5"/>
  <c r="U187" i="5"/>
  <c r="U194" i="5"/>
  <c r="T199" i="5"/>
  <c r="T188" i="5"/>
  <c r="U188" i="5" s="1"/>
  <c r="T198" i="5"/>
  <c r="U198" i="5" s="1"/>
  <c r="T185" i="5" l="1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L186" i="5"/>
  <c r="O186" i="5" s="1"/>
  <c r="T186" i="5" s="1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U166" i="5" l="1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63" i="5"/>
  <c r="U164" i="5"/>
  <c r="U165" i="5"/>
  <c r="U162" i="5"/>
  <c r="U161" i="5"/>
  <c r="E21" i="7" l="1"/>
  <c r="U21" i="7" s="1"/>
  <c r="E66" i="6"/>
  <c r="U66" i="6" s="1"/>
  <c r="P19" i="7" l="1"/>
  <c r="S19" i="7" s="1"/>
  <c r="I19" i="7"/>
  <c r="L19" i="7" s="1"/>
  <c r="O19" i="7" s="1"/>
  <c r="T19" i="7" s="1"/>
  <c r="U19" i="7" s="1"/>
  <c r="E19" i="7"/>
  <c r="P58" i="6"/>
  <c r="S58" i="6" s="1"/>
  <c r="I58" i="6"/>
  <c r="L58" i="6" s="1"/>
  <c r="O58" i="6" s="1"/>
  <c r="T58" i="6" s="1"/>
  <c r="U58" i="6" s="1"/>
  <c r="E58" i="6"/>
  <c r="P162" i="5"/>
  <c r="S162" i="5" s="1"/>
  <c r="L162" i="5"/>
  <c r="O162" i="5" s="1"/>
  <c r="T162" i="5" s="1"/>
  <c r="I162" i="5"/>
  <c r="E162" i="5"/>
  <c r="P57" i="6" l="1"/>
  <c r="S57" i="6" s="1"/>
  <c r="I57" i="6"/>
  <c r="L57" i="6" s="1"/>
  <c r="O57" i="6" s="1"/>
  <c r="E57" i="6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T57" i="6" l="1"/>
  <c r="U57" i="6" s="1"/>
  <c r="T159" i="5"/>
  <c r="U159" i="5" s="1"/>
  <c r="T161" i="5"/>
  <c r="T160" i="5"/>
  <c r="U160" i="5" s="1"/>
  <c r="T157" i="5"/>
  <c r="U157" i="5" s="1"/>
  <c r="T158" i="5"/>
  <c r="U158" i="5" s="1"/>
  <c r="P18" i="7" l="1"/>
  <c r="S18" i="7" s="1"/>
  <c r="L18" i="7"/>
  <c r="O18" i="7" s="1"/>
  <c r="E18" i="7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T18" i="7" l="1"/>
  <c r="U18" i="7" s="1"/>
  <c r="T54" i="6"/>
  <c r="U54" i="6" s="1"/>
  <c r="S53" i="6"/>
  <c r="T53" i="6" s="1"/>
  <c r="E56" i="6"/>
  <c r="E53" i="6"/>
  <c r="E55" i="6"/>
  <c r="T55" i="6"/>
  <c r="T56" i="6"/>
  <c r="U56" i="6" l="1"/>
  <c r="U55" i="6"/>
  <c r="U53" i="6"/>
  <c r="P156" i="5" l="1"/>
  <c r="S156" i="5" s="1"/>
  <c r="I156" i="5"/>
  <c r="L156" i="5" s="1"/>
  <c r="O156" i="5" s="1"/>
  <c r="C156" i="5"/>
  <c r="B156" i="5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T148" i="5" l="1"/>
  <c r="E155" i="5"/>
  <c r="S147" i="5"/>
  <c r="T147" i="5" s="1"/>
  <c r="E152" i="5"/>
  <c r="T150" i="5"/>
  <c r="U150" i="5" s="1"/>
  <c r="E145" i="5"/>
  <c r="T153" i="5"/>
  <c r="T155" i="5"/>
  <c r="U155" i="5" s="1"/>
  <c r="E146" i="5"/>
  <c r="E156" i="5"/>
  <c r="T145" i="5"/>
  <c r="E149" i="5"/>
  <c r="T149" i="5"/>
  <c r="E147" i="5"/>
  <c r="T152" i="5"/>
  <c r="E153" i="5"/>
  <c r="T156" i="5"/>
  <c r="E154" i="5"/>
  <c r="E148" i="5"/>
  <c r="T151" i="5"/>
  <c r="U151" i="5" s="1"/>
  <c r="T146" i="5"/>
  <c r="T154" i="5"/>
  <c r="U156" i="5" l="1"/>
  <c r="U153" i="5"/>
  <c r="U148" i="5"/>
  <c r="U146" i="5"/>
  <c r="U145" i="5"/>
  <c r="U152" i="5"/>
  <c r="U149" i="5"/>
  <c r="U154" i="5"/>
  <c r="U147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T142" i="5" l="1"/>
  <c r="T141" i="5"/>
  <c r="U141" i="5" s="1"/>
  <c r="T143" i="5"/>
  <c r="T140" i="5"/>
  <c r="U140" i="5" s="1"/>
  <c r="E52" i="6"/>
  <c r="T51" i="6"/>
  <c r="U51" i="6" s="1"/>
  <c r="T52" i="6"/>
  <c r="T139" i="5"/>
  <c r="U139" i="5" s="1"/>
  <c r="E142" i="5"/>
  <c r="E144" i="5"/>
  <c r="E143" i="5"/>
  <c r="U143" i="5" s="1"/>
  <c r="T144" i="5"/>
  <c r="U142" i="5" l="1"/>
  <c r="U144" i="5"/>
  <c r="U52" i="6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T24" i="5" s="1"/>
  <c r="O48" i="5"/>
  <c r="O27" i="5"/>
  <c r="T27" i="5" s="1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U63" i="5" s="1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<sst xmlns="http://schemas.openxmlformats.org/spreadsheetml/2006/main" count="417" uniqueCount="100">
  <si>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</si>
  <si>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</si>
  <si>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</si>
  <si>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</si>
  <si>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</si>
  <si>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</si>
  <si>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</si>
  <si>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</si>
  <si>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</si>
  <si>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</si>
  <si>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</si>
  <si>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</si>
  <si>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</si>
  <si>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</si>
  <si>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</si>
  <si>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</si>
  <si>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</si>
  <si>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</si>
  <si>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</si>
  <si>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</si>
  <si>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</si>
  <si>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</si>
  <si>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</si>
  <si>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</si>
  <si>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</si>
  <si>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</si>
  <si>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</si>
  <si>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</si>
  <si>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</si>
  <si>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</si>
  <si>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</si>
  <si>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</si>
  <si>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</si>
  <si>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</si>
  <si>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</si>
  <si>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</si>
  <si>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</si>
  <si>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</si>
  <si>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</si>
  <si>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</si>
  <si>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</si>
  <si>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</si>
  <si>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</si>
  <si>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</si>
  <si>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</si>
  <si>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</si>
  <si>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</si>
  <si>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</si>
  <si>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</si>
  <si>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</si>
  <si>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</si>
  <si>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</si>
  <si>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</si>
  <si>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</si>
  <si>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</si>
  <si>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</si>
  <si>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</si>
  <si>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</si>
  <si>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</si>
  <si>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</si>
  <si>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</si>
  <si>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</si>
  <si>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</si>
  <si>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</si>
  <si>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</si>
  <si>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</si>
  <si>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</si>
  <si>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</si>
  <si>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</si>
  <si>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</si>
  <si>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</si>
  <si>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                    Sept-22</t>
    </r>
    <r>
      <rPr>
        <vertAlign val="superscript"/>
        <sz val="12"/>
        <rFont val="Cambria"/>
        <family val="1"/>
      </rPr>
      <t>(p)</t>
    </r>
  </si>
  <si>
    <r>
      <t xml:space="preserve">                     Déc-22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</si>
  <si>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</si>
  <si>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</si>
  <si>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</si>
  <si>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</si>
  <si>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</si>
  <si>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</si>
  <si>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</si>
  <si>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</si>
  <si>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</si>
  <si>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</si>
  <si>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</si>
  <si>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</si>
  <si>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</si>
  <si>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</si>
  <si>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</si>
  <si>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</si>
  <si>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</si>
  <si>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</si>
  <si>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</si>
  <si>
    <r>
      <t xml:space="preserve">                'Mars-23</t>
    </r>
    <r>
      <rPr>
        <vertAlign val="superscript"/>
        <sz val="12"/>
        <rFont val="Cambria"/>
        <family val="1"/>
      </rPr>
      <t>(p)</t>
    </r>
  </si>
  <si>
    <r>
      <t xml:space="preserve">                 'Juin-23</t>
    </r>
    <r>
      <rPr>
        <vertAlign val="superscript"/>
        <sz val="12"/>
        <rFont val="Cambria"/>
        <family val="1"/>
      </rPr>
      <t>(p)</t>
    </r>
  </si>
  <si>
    <r>
      <t xml:space="preserve">               'Septembre-23</t>
    </r>
    <r>
      <rPr>
        <vertAlign val="superscript"/>
        <sz val="12"/>
        <rFont val="Cambria"/>
        <family val="1"/>
      </rPr>
      <t>(p)</t>
    </r>
  </si>
  <si>
    <r>
      <t xml:space="preserve">                 'déc-23</t>
    </r>
    <r>
      <rPr>
        <vertAlign val="superscript"/>
        <sz val="12"/>
        <rFont val="Cambria"/>
        <family val="1"/>
      </rPr>
      <t>(p)</t>
    </r>
  </si>
  <si>
    <r>
      <t>Jan-24</t>
    </r>
    <r>
      <rPr>
        <vertAlign val="superscript"/>
        <sz val="12"/>
        <rFont val="Cambria"/>
        <family val="1"/>
      </rPr>
      <t>(p)</t>
    </r>
  </si>
  <si>
    <r>
      <t>Fév-24</t>
    </r>
    <r>
      <rPr>
        <vertAlign val="superscript"/>
        <sz val="12"/>
        <rFont val="Cambria"/>
        <family val="1"/>
      </rPr>
      <t>(p)</t>
    </r>
  </si>
  <si>
    <t>Q1-2024</t>
  </si>
  <si>
    <r>
      <t>Mars-24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</si>
</sst>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20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0"/>
      <name val="Helv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7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8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8" fillId="0" borderId="0" xfId="0" applyFont="1" applyFill="1"/>
    <xf numFmtId="17" fontId="14" fillId="0" borderId="10" xfId="0" applyNumberFormat="1" applyFont="1" applyFill="1" applyBorder="1" applyAlignment="1" applyProtection="1">
      <alignment horizontal="center" vertical="center"/>
    </xf>
    <xf numFmtId="17" fontId="14" fillId="0" borderId="10" xfId="0" applyNumberFormat="1" applyFont="1" applyFill="1" applyBorder="1" applyAlignment="1" applyProtection="1">
      <alignment horizontal="left" vertical="center" indent="2"/>
    </xf>
    <xf numFmtId="17" fontId="14" fillId="0" borderId="10" xfId="0" applyNumberFormat="1" applyFont="1" applyFill="1" applyBorder="1" applyAlignment="1" applyProtection="1"/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G12" sqref="G12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45352</v>
      </c>
    </row>
    <row r="13" spans="2:5">
      <c r="B13" s="7" t="s">
        <v>31</v>
      </c>
      <c r="C13" s="8" t="s">
        <v>60</v>
      </c>
      <c r="D13" s="8" t="s">
        <v>31</v>
      </c>
      <c r="E13" s="10" t="s">
        <v>98</v>
      </c>
    </row>
    <row r="14" spans="2:5">
      <c r="B14" s="7" t="s">
        <v>32</v>
      </c>
      <c r="C14" s="8" t="s">
        <v>38</v>
      </c>
      <c r="D14" s="8" t="s">
        <v>32</v>
      </c>
      <c r="E14" s="9" t="s">
        <v>89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39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203"/>
  <sheetViews>
    <sheetView zoomScale="80" zoomScaleNormal="80" workbookViewId="0">
      <pane xSplit="1" ySplit="6" topLeftCell="M187" activePane="bottomRight" state="frozen"/>
      <selection pane="topRight" activeCell="B1" sqref="B1"/>
      <selection pane="bottomLeft" activeCell="A7" sqref="A7"/>
      <selection pane="bottomRight" activeCell="A201" sqref="A201:XFD201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4" t="s">
        <v>55</v>
      </c>
      <c r="G2" s="44"/>
      <c r="H2" s="44"/>
    </row>
    <row r="3" spans="1:21" ht="21" customHeight="1"/>
    <row r="4" spans="1:21" s="24" customFormat="1" ht="15.75" customHeight="1">
      <c r="A4" s="65" t="s">
        <v>46</v>
      </c>
      <c r="B4" s="59" t="s">
        <v>3</v>
      </c>
      <c r="C4" s="60"/>
      <c r="D4" s="60"/>
      <c r="E4" s="61"/>
      <c r="F4" s="45" t="s">
        <v>4</v>
      </c>
      <c r="G4" s="46"/>
      <c r="H4" s="46"/>
      <c r="I4" s="46"/>
      <c r="J4" s="46"/>
      <c r="K4" s="46"/>
      <c r="L4" s="46"/>
      <c r="M4" s="46"/>
      <c r="N4" s="46"/>
      <c r="O4" s="47"/>
      <c r="P4" s="45"/>
      <c r="Q4" s="46"/>
      <c r="R4" s="46"/>
      <c r="S4" s="46"/>
      <c r="T4" s="46"/>
      <c r="U4" s="56" t="s">
        <v>21</v>
      </c>
    </row>
    <row r="5" spans="1:21" s="24" customFormat="1" ht="18">
      <c r="A5" s="66"/>
      <c r="B5" s="62"/>
      <c r="C5" s="63"/>
      <c r="D5" s="63"/>
      <c r="E5" s="64"/>
      <c r="F5" s="45" t="s">
        <v>22</v>
      </c>
      <c r="G5" s="46"/>
      <c r="H5" s="46"/>
      <c r="I5" s="46"/>
      <c r="J5" s="46"/>
      <c r="K5" s="46"/>
      <c r="L5" s="46"/>
      <c r="M5" s="46"/>
      <c r="N5" s="46"/>
      <c r="O5" s="47"/>
      <c r="P5" s="45" t="s">
        <v>7</v>
      </c>
      <c r="Q5" s="46"/>
      <c r="R5" s="46"/>
      <c r="S5" s="46"/>
      <c r="T5" s="54" t="s">
        <v>0</v>
      </c>
      <c r="U5" s="57"/>
    </row>
    <row r="6" spans="1:21" s="24" customFormat="1" ht="90">
      <c r="A6" s="67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5"/>
      <c r="U6" s="58"/>
    </row>
    <row r="7" spans="1:21" s="36" customFormat="1" ht="15.75">
      <c r="A7" s="42">
        <v>39478</v>
      </c>
      <c r="B7" s="30">
        <v>71000.099999999977</v>
      </c>
      <c r="C7" s="30">
        <v>72524.799999999988</v>
      </c>
      <c r="D7" s="30"/>
      <c r="E7" s="30">
        <f>SUM(B7:D7)</f>
        <v>143524.89999999997</v>
      </c>
      <c r="F7" s="30">
        <v>158139.70000000001</v>
      </c>
      <c r="G7" s="30">
        <v>40422.300000000003</v>
      </c>
      <c r="H7" s="30"/>
      <c r="I7" s="30">
        <v>5365.5</v>
      </c>
      <c r="J7" s="31"/>
      <c r="K7" s="31"/>
      <c r="L7" s="32">
        <f t="shared" ref="L7:L70" si="0">SUM(F7:K7)</f>
        <v>203927.5</v>
      </c>
      <c r="M7" s="33">
        <v>80610.600000000006</v>
      </c>
      <c r="N7" s="30">
        <v>9941.8999999999978</v>
      </c>
      <c r="O7" s="32">
        <f t="shared" ref="O7:O70" si="1">L7-M7-N7</f>
        <v>113375</v>
      </c>
      <c r="P7" s="30">
        <v>9503.2000000000007</v>
      </c>
      <c r="Q7" s="30">
        <v>218676.50000000003</v>
      </c>
      <c r="R7" s="32">
        <v>77.900000000000006</v>
      </c>
      <c r="S7" s="30">
        <f>SUM(P7:R7)</f>
        <v>228257.60000000003</v>
      </c>
      <c r="T7" s="34">
        <f t="shared" ref="T7:T38" si="2">S7+O7</f>
        <v>341632.60000000003</v>
      </c>
      <c r="U7" s="30">
        <f t="shared" ref="U7:U38" si="3">T7+E7</f>
        <v>485157.5</v>
      </c>
    </row>
    <row r="8" spans="1:21" s="36" customFormat="1" ht="15.75">
      <c r="A8" s="42">
        <v>39507</v>
      </c>
      <c r="B8" s="30">
        <v>62812.299999999988</v>
      </c>
      <c r="C8" s="30">
        <v>81461.900000000009</v>
      </c>
      <c r="D8" s="30"/>
      <c r="E8" s="30">
        <f t="shared" ref="E8:E71" si="4">SUM(B8:D8)</f>
        <v>144274.20000000001</v>
      </c>
      <c r="F8" s="30">
        <v>163802</v>
      </c>
      <c r="G8" s="30">
        <v>45396.9</v>
      </c>
      <c r="H8" s="30" t="s">
        <v>2</v>
      </c>
      <c r="I8" s="30">
        <v>6283.7000000000007</v>
      </c>
      <c r="J8" s="31" t="s">
        <v>2</v>
      </c>
      <c r="K8" s="31" t="s">
        <v>2</v>
      </c>
      <c r="L8" s="32">
        <f t="shared" si="0"/>
        <v>215482.6</v>
      </c>
      <c r="M8" s="33">
        <v>76125.5</v>
      </c>
      <c r="N8" s="30">
        <v>9334.5</v>
      </c>
      <c r="O8" s="32">
        <f t="shared" si="1"/>
        <v>130022.6</v>
      </c>
      <c r="P8" s="30">
        <v>9111.2000000000007</v>
      </c>
      <c r="Q8" s="30">
        <v>217278.00000000003</v>
      </c>
      <c r="R8" s="32">
        <v>106.1</v>
      </c>
      <c r="S8" s="30">
        <f t="shared" ref="S8:S71" si="5">SUM(P8:R8)</f>
        <v>226495.30000000005</v>
      </c>
      <c r="T8" s="34">
        <f t="shared" si="2"/>
        <v>356517.9</v>
      </c>
      <c r="U8" s="30">
        <f t="shared" si="3"/>
        <v>500792.10000000003</v>
      </c>
    </row>
    <row r="9" spans="1:21" s="36" customFormat="1" ht="15.75">
      <c r="A9" s="42">
        <v>39538</v>
      </c>
      <c r="B9" s="30">
        <v>60403.499999999942</v>
      </c>
      <c r="C9" s="30">
        <v>88180.9</v>
      </c>
      <c r="D9" s="30"/>
      <c r="E9" s="30">
        <f t="shared" si="4"/>
        <v>148584.39999999994</v>
      </c>
      <c r="F9" s="30">
        <v>173616.9</v>
      </c>
      <c r="G9" s="30">
        <v>45326.400000000001</v>
      </c>
      <c r="H9" s="30" t="s">
        <v>2</v>
      </c>
      <c r="I9" s="30">
        <v>6220.2999999999993</v>
      </c>
      <c r="J9" s="31" t="s">
        <v>2</v>
      </c>
      <c r="K9" s="31" t="s">
        <v>2</v>
      </c>
      <c r="L9" s="32">
        <f t="shared" si="0"/>
        <v>225163.59999999998</v>
      </c>
      <c r="M9" s="33">
        <v>80768</v>
      </c>
      <c r="N9" s="30">
        <v>11101.600000000002</v>
      </c>
      <c r="O9" s="32">
        <f t="shared" si="1"/>
        <v>133293.99999999997</v>
      </c>
      <c r="P9" s="30">
        <v>9802.6999999999989</v>
      </c>
      <c r="Q9" s="30">
        <v>220978.30000000005</v>
      </c>
      <c r="R9" s="32">
        <v>105.1</v>
      </c>
      <c r="S9" s="30">
        <f t="shared" si="5"/>
        <v>230886.10000000006</v>
      </c>
      <c r="T9" s="34">
        <f t="shared" si="2"/>
        <v>364180.10000000003</v>
      </c>
      <c r="U9" s="30">
        <f t="shared" si="3"/>
        <v>512764.5</v>
      </c>
    </row>
    <row r="10" spans="1:21" s="36" customFormat="1" ht="15.75">
      <c r="A10" s="42">
        <v>39568</v>
      </c>
      <c r="B10" s="30">
        <v>65629.399999999994</v>
      </c>
      <c r="C10" s="30">
        <v>84707.599999999977</v>
      </c>
      <c r="D10" s="30"/>
      <c r="E10" s="30">
        <f t="shared" si="4"/>
        <v>150336.99999999997</v>
      </c>
      <c r="F10" s="30">
        <v>179672.1</v>
      </c>
      <c r="G10" s="30">
        <v>44626.400000000001</v>
      </c>
      <c r="H10" s="30" t="s">
        <v>2</v>
      </c>
      <c r="I10" s="30">
        <v>8569.1</v>
      </c>
      <c r="J10" s="31" t="s">
        <v>2</v>
      </c>
      <c r="K10" s="31" t="s">
        <v>2</v>
      </c>
      <c r="L10" s="32">
        <f t="shared" si="0"/>
        <v>232867.6</v>
      </c>
      <c r="M10" s="33">
        <v>91380.599999999991</v>
      </c>
      <c r="N10" s="30">
        <v>11534.699999999999</v>
      </c>
      <c r="O10" s="32">
        <f t="shared" si="1"/>
        <v>129952.3</v>
      </c>
      <c r="P10" s="30">
        <v>9230.9999999999982</v>
      </c>
      <c r="Q10" s="30">
        <v>223510</v>
      </c>
      <c r="R10" s="32">
        <v>104.3</v>
      </c>
      <c r="S10" s="30">
        <f t="shared" si="5"/>
        <v>232845.3</v>
      </c>
      <c r="T10" s="34">
        <f t="shared" si="2"/>
        <v>362797.6</v>
      </c>
      <c r="U10" s="30">
        <f t="shared" si="3"/>
        <v>513134.6</v>
      </c>
    </row>
    <row r="11" spans="1:21" s="36" customFormat="1" ht="15.75">
      <c r="A11" s="42">
        <v>39599</v>
      </c>
      <c r="B11" s="30">
        <v>61488</v>
      </c>
      <c r="C11" s="30">
        <v>79298.499999999985</v>
      </c>
      <c r="D11" s="30"/>
      <c r="E11" s="30">
        <f t="shared" si="4"/>
        <v>140786.5</v>
      </c>
      <c r="F11" s="30">
        <v>182582.3</v>
      </c>
      <c r="G11" s="30">
        <v>40822.200000000004</v>
      </c>
      <c r="H11" s="30" t="s">
        <v>2</v>
      </c>
      <c r="I11" s="30">
        <v>5414</v>
      </c>
      <c r="J11" s="31" t="s">
        <v>2</v>
      </c>
      <c r="K11" s="31" t="s">
        <v>2</v>
      </c>
      <c r="L11" s="32">
        <f t="shared" si="0"/>
        <v>228818.5</v>
      </c>
      <c r="M11" s="33">
        <v>89184.723000000013</v>
      </c>
      <c r="N11" s="30">
        <v>10026.699999999999</v>
      </c>
      <c r="O11" s="32">
        <f t="shared" si="1"/>
        <v>129607.077</v>
      </c>
      <c r="P11" s="30">
        <v>9642.4</v>
      </c>
      <c r="Q11" s="30">
        <v>225959.4</v>
      </c>
      <c r="R11" s="32">
        <v>104.4</v>
      </c>
      <c r="S11" s="30">
        <f t="shared" si="5"/>
        <v>235706.19999999998</v>
      </c>
      <c r="T11" s="34">
        <f t="shared" si="2"/>
        <v>365313.277</v>
      </c>
      <c r="U11" s="30">
        <f t="shared" si="3"/>
        <v>506099.777</v>
      </c>
    </row>
    <row r="12" spans="1:21" s="36" customFormat="1" ht="15.75">
      <c r="A12" s="42">
        <v>39629</v>
      </c>
      <c r="B12" s="30">
        <v>56309.5</v>
      </c>
      <c r="C12" s="30">
        <v>82636.399999999994</v>
      </c>
      <c r="D12" s="30"/>
      <c r="E12" s="30">
        <f t="shared" si="4"/>
        <v>138945.9</v>
      </c>
      <c r="F12" s="30">
        <v>185113.8</v>
      </c>
      <c r="G12" s="30">
        <v>41022.200000000004</v>
      </c>
      <c r="H12" s="30" t="s">
        <v>2</v>
      </c>
      <c r="I12" s="30">
        <v>8052.4</v>
      </c>
      <c r="J12" s="31" t="s">
        <v>2</v>
      </c>
      <c r="K12" s="31" t="s">
        <v>2</v>
      </c>
      <c r="L12" s="32">
        <f t="shared" si="0"/>
        <v>234188.4</v>
      </c>
      <c r="M12" s="33">
        <v>82103</v>
      </c>
      <c r="N12" s="30">
        <v>10096.199999999999</v>
      </c>
      <c r="O12" s="32">
        <f t="shared" si="1"/>
        <v>141989.19999999998</v>
      </c>
      <c r="P12" s="30">
        <v>12850.8</v>
      </c>
      <c r="Q12" s="30">
        <v>237857.6</v>
      </c>
      <c r="R12" s="32">
        <v>101.8</v>
      </c>
      <c r="S12" s="30">
        <f t="shared" si="5"/>
        <v>250810.19999999998</v>
      </c>
      <c r="T12" s="34">
        <f t="shared" si="2"/>
        <v>392799.39999999997</v>
      </c>
      <c r="U12" s="30">
        <f t="shared" si="3"/>
        <v>531745.29999999993</v>
      </c>
    </row>
    <row r="13" spans="1:21" s="36" customFormat="1" ht="15.75">
      <c r="A13" s="42">
        <v>39660</v>
      </c>
      <c r="B13" s="30">
        <v>70144.199999999953</v>
      </c>
      <c r="C13" s="30">
        <v>74558.799999999988</v>
      </c>
      <c r="D13" s="30"/>
      <c r="E13" s="30">
        <f t="shared" si="4"/>
        <v>144702.99999999994</v>
      </c>
      <c r="F13" s="30">
        <v>177924.3</v>
      </c>
      <c r="G13" s="30">
        <v>36154.800000000003</v>
      </c>
      <c r="H13" s="30" t="s">
        <v>2</v>
      </c>
      <c r="I13" s="30">
        <v>7102.2999999999993</v>
      </c>
      <c r="J13" s="31" t="s">
        <v>2</v>
      </c>
      <c r="K13" s="31" t="s">
        <v>2</v>
      </c>
      <c r="L13" s="32">
        <f t="shared" si="0"/>
        <v>221181.39999999997</v>
      </c>
      <c r="M13" s="33">
        <v>79078.900000000009</v>
      </c>
      <c r="N13" s="30">
        <v>9264.6999999999989</v>
      </c>
      <c r="O13" s="32">
        <f t="shared" si="1"/>
        <v>132837.79999999993</v>
      </c>
      <c r="P13" s="30">
        <v>23911.999999999996</v>
      </c>
      <c r="Q13" s="30">
        <v>245655.30000000002</v>
      </c>
      <c r="R13" s="32">
        <v>102.39999999999999</v>
      </c>
      <c r="S13" s="30">
        <f t="shared" si="5"/>
        <v>269669.7</v>
      </c>
      <c r="T13" s="34">
        <f t="shared" si="2"/>
        <v>402507.49999999994</v>
      </c>
      <c r="U13" s="30">
        <f t="shared" si="3"/>
        <v>547210.49999999988</v>
      </c>
    </row>
    <row r="14" spans="1:21" s="36" customFormat="1" ht="15.75">
      <c r="A14" s="42">
        <v>39691</v>
      </c>
      <c r="B14" s="30">
        <v>79117.500000000029</v>
      </c>
      <c r="C14" s="30">
        <v>86599.4</v>
      </c>
      <c r="D14" s="30"/>
      <c r="E14" s="30">
        <f t="shared" si="4"/>
        <v>165716.90000000002</v>
      </c>
      <c r="F14" s="30">
        <v>181494.5</v>
      </c>
      <c r="G14" s="30">
        <v>35951.5</v>
      </c>
      <c r="H14" s="30" t="s">
        <v>2</v>
      </c>
      <c r="I14" s="30">
        <v>6763.1</v>
      </c>
      <c r="J14" s="31" t="s">
        <v>2</v>
      </c>
      <c r="K14" s="31" t="s">
        <v>2</v>
      </c>
      <c r="L14" s="32">
        <f t="shared" si="0"/>
        <v>224209.1</v>
      </c>
      <c r="M14" s="33">
        <v>100261.9</v>
      </c>
      <c r="N14" s="30">
        <v>9613.6999999999989</v>
      </c>
      <c r="O14" s="32">
        <f t="shared" si="1"/>
        <v>114333.50000000001</v>
      </c>
      <c r="P14" s="30">
        <v>30283.5</v>
      </c>
      <c r="Q14" s="30">
        <v>249193.1</v>
      </c>
      <c r="R14" s="32">
        <v>90.899999999999991</v>
      </c>
      <c r="S14" s="30">
        <f t="shared" si="5"/>
        <v>279567.5</v>
      </c>
      <c r="T14" s="34">
        <f t="shared" si="2"/>
        <v>393901</v>
      </c>
      <c r="U14" s="30">
        <f t="shared" si="3"/>
        <v>559617.9</v>
      </c>
    </row>
    <row r="15" spans="1:21" s="36" customFormat="1" ht="15.75">
      <c r="A15" s="42">
        <v>39721</v>
      </c>
      <c r="B15" s="30">
        <v>75833.299999999959</v>
      </c>
      <c r="C15" s="30">
        <v>106593.50000000003</v>
      </c>
      <c r="D15" s="30"/>
      <c r="E15" s="30">
        <f t="shared" si="4"/>
        <v>182426.8</v>
      </c>
      <c r="F15" s="30">
        <v>167686.39999999999</v>
      </c>
      <c r="G15" s="30">
        <v>44061</v>
      </c>
      <c r="H15" s="30" t="s">
        <v>2</v>
      </c>
      <c r="I15" s="30">
        <v>7787.3</v>
      </c>
      <c r="J15" s="31" t="s">
        <v>2</v>
      </c>
      <c r="K15" s="31" t="s">
        <v>2</v>
      </c>
      <c r="L15" s="32">
        <f t="shared" si="0"/>
        <v>219534.69999999998</v>
      </c>
      <c r="M15" s="33">
        <v>100053.9</v>
      </c>
      <c r="N15" s="30">
        <v>9456.2000000000007</v>
      </c>
      <c r="O15" s="32">
        <f t="shared" si="1"/>
        <v>110024.59999999999</v>
      </c>
      <c r="P15" s="30">
        <v>31552.799999999999</v>
      </c>
      <c r="Q15" s="30">
        <v>254099.09999999998</v>
      </c>
      <c r="R15" s="32">
        <v>93</v>
      </c>
      <c r="S15" s="30">
        <f t="shared" si="5"/>
        <v>285744.89999999997</v>
      </c>
      <c r="T15" s="34">
        <f t="shared" si="2"/>
        <v>395769.49999999994</v>
      </c>
      <c r="U15" s="30">
        <f t="shared" si="3"/>
        <v>578196.29999999993</v>
      </c>
    </row>
    <row r="16" spans="1:21" s="36" customFormat="1" ht="15.75">
      <c r="A16" s="42">
        <v>39752</v>
      </c>
      <c r="B16" s="30">
        <v>95303.6</v>
      </c>
      <c r="C16" s="30">
        <v>96499.799999999988</v>
      </c>
      <c r="D16" s="30"/>
      <c r="E16" s="30">
        <f t="shared" si="4"/>
        <v>191803.4</v>
      </c>
      <c r="F16" s="30">
        <v>161646.39999999999</v>
      </c>
      <c r="G16" s="30">
        <v>43061</v>
      </c>
      <c r="H16" s="30" t="s">
        <v>2</v>
      </c>
      <c r="I16" s="30">
        <v>7537.4000000000005</v>
      </c>
      <c r="J16" s="31" t="s">
        <v>2</v>
      </c>
      <c r="K16" s="31" t="s">
        <v>2</v>
      </c>
      <c r="L16" s="32">
        <f t="shared" si="0"/>
        <v>212244.8</v>
      </c>
      <c r="M16" s="33">
        <v>101928.7</v>
      </c>
      <c r="N16" s="30">
        <v>11011.5</v>
      </c>
      <c r="O16" s="32">
        <f t="shared" si="1"/>
        <v>99304.599999999991</v>
      </c>
      <c r="P16" s="30">
        <v>27717.1</v>
      </c>
      <c r="Q16" s="30">
        <v>268878.59999999998</v>
      </c>
      <c r="R16" s="32">
        <v>129.9</v>
      </c>
      <c r="S16" s="30">
        <f t="shared" si="5"/>
        <v>296725.59999999998</v>
      </c>
      <c r="T16" s="34">
        <f t="shared" si="2"/>
        <v>396030.19999999995</v>
      </c>
      <c r="U16" s="30">
        <f t="shared" si="3"/>
        <v>587833.59999999998</v>
      </c>
    </row>
    <row r="17" spans="1:21" s="36" customFormat="1" ht="15.75">
      <c r="A17" s="42">
        <v>39782</v>
      </c>
      <c r="B17" s="30">
        <v>107336.39999999994</v>
      </c>
      <c r="C17" s="30">
        <v>99747.400000000023</v>
      </c>
      <c r="D17" s="30"/>
      <c r="E17" s="30">
        <f t="shared" si="4"/>
        <v>207083.79999999996</v>
      </c>
      <c r="F17" s="30">
        <v>146839.90000000002</v>
      </c>
      <c r="G17" s="30">
        <v>49561</v>
      </c>
      <c r="H17" s="30" t="s">
        <v>2</v>
      </c>
      <c r="I17" s="30">
        <v>7407</v>
      </c>
      <c r="J17" s="31" t="s">
        <v>2</v>
      </c>
      <c r="K17" s="31" t="s">
        <v>2</v>
      </c>
      <c r="L17" s="32">
        <f t="shared" si="0"/>
        <v>203807.90000000002</v>
      </c>
      <c r="M17" s="33">
        <v>100314.5</v>
      </c>
      <c r="N17" s="30">
        <v>9960.7000000000007</v>
      </c>
      <c r="O17" s="32">
        <f t="shared" si="1"/>
        <v>93532.700000000026</v>
      </c>
      <c r="P17" s="30">
        <v>24662.6</v>
      </c>
      <c r="Q17" s="30">
        <v>267453.30000000005</v>
      </c>
      <c r="R17" s="32">
        <v>126.60000000000001</v>
      </c>
      <c r="S17" s="30">
        <f t="shared" si="5"/>
        <v>292242.5</v>
      </c>
      <c r="T17" s="34">
        <f t="shared" si="2"/>
        <v>385775.2</v>
      </c>
      <c r="U17" s="30">
        <f t="shared" si="3"/>
        <v>592859</v>
      </c>
    </row>
    <row r="18" spans="1:21" s="36" customFormat="1" ht="15.75">
      <c r="A18" s="42">
        <v>39813</v>
      </c>
      <c r="B18" s="30">
        <v>159092.20000000007</v>
      </c>
      <c r="C18" s="30">
        <v>95759.5</v>
      </c>
      <c r="D18" s="30"/>
      <c r="E18" s="30">
        <f t="shared" si="4"/>
        <v>254851.70000000007</v>
      </c>
      <c r="F18" s="30">
        <v>170798.9</v>
      </c>
      <c r="G18" s="30">
        <v>58561</v>
      </c>
      <c r="H18" s="30" t="s">
        <v>2</v>
      </c>
      <c r="I18" s="30">
        <v>9544.5</v>
      </c>
      <c r="J18" s="31" t="s">
        <v>2</v>
      </c>
      <c r="K18" s="31" t="s">
        <v>2</v>
      </c>
      <c r="L18" s="32">
        <f t="shared" si="0"/>
        <v>238904.4</v>
      </c>
      <c r="M18" s="33">
        <v>125831.59999999999</v>
      </c>
      <c r="N18" s="30">
        <v>11736.2</v>
      </c>
      <c r="O18" s="32">
        <f t="shared" si="1"/>
        <v>101336.6</v>
      </c>
      <c r="P18" s="30">
        <v>21927.199999999997</v>
      </c>
      <c r="Q18" s="30">
        <v>261749.50000000003</v>
      </c>
      <c r="R18" s="32">
        <v>120.8</v>
      </c>
      <c r="S18" s="30">
        <f t="shared" si="5"/>
        <v>283797.5</v>
      </c>
      <c r="T18" s="34">
        <f t="shared" si="2"/>
        <v>385134.1</v>
      </c>
      <c r="U18" s="30">
        <f t="shared" si="3"/>
        <v>639985.80000000005</v>
      </c>
    </row>
    <row r="19" spans="1:21" s="36" customFormat="1" ht="15.75">
      <c r="A19" s="42">
        <v>39844</v>
      </c>
      <c r="B19" s="30">
        <v>141369.9</v>
      </c>
      <c r="C19" s="30">
        <v>88477.799999999988</v>
      </c>
      <c r="D19" s="30"/>
      <c r="E19" s="30">
        <f t="shared" si="4"/>
        <v>229847.69999999998</v>
      </c>
      <c r="F19" s="30">
        <v>148190.5</v>
      </c>
      <c r="G19" s="30">
        <v>55061</v>
      </c>
      <c r="H19" s="30" t="s">
        <v>2</v>
      </c>
      <c r="I19" s="30">
        <v>7472.2</v>
      </c>
      <c r="J19" s="31" t="s">
        <v>2</v>
      </c>
      <c r="K19" s="31" t="s">
        <v>2</v>
      </c>
      <c r="L19" s="32">
        <f t="shared" si="0"/>
        <v>210723.7</v>
      </c>
      <c r="M19" s="33">
        <v>107241.29999999999</v>
      </c>
      <c r="N19" s="30">
        <v>11146.4</v>
      </c>
      <c r="O19" s="32">
        <f t="shared" si="1"/>
        <v>92336.000000000029</v>
      </c>
      <c r="P19" s="30">
        <v>19781.399999999998</v>
      </c>
      <c r="Q19" s="30">
        <v>262133.40000000002</v>
      </c>
      <c r="R19" s="32">
        <v>116.7</v>
      </c>
      <c r="S19" s="30">
        <f t="shared" si="5"/>
        <v>282031.50000000006</v>
      </c>
      <c r="T19" s="34">
        <f t="shared" si="2"/>
        <v>374367.50000000012</v>
      </c>
      <c r="U19" s="30">
        <f t="shared" si="3"/>
        <v>604215.20000000007</v>
      </c>
    </row>
    <row r="20" spans="1:21" s="36" customFormat="1" ht="15.75">
      <c r="A20" s="42">
        <v>39872</v>
      </c>
      <c r="B20" s="30">
        <v>125265.90000000002</v>
      </c>
      <c r="C20" s="30">
        <v>89948.099999999977</v>
      </c>
      <c r="D20" s="30"/>
      <c r="E20" s="30">
        <f t="shared" si="4"/>
        <v>215214</v>
      </c>
      <c r="F20" s="30">
        <v>154147.90000000002</v>
      </c>
      <c r="G20" s="30">
        <v>62061</v>
      </c>
      <c r="H20" s="30" t="s">
        <v>2</v>
      </c>
      <c r="I20" s="30">
        <v>7189.7</v>
      </c>
      <c r="J20" s="31" t="s">
        <v>2</v>
      </c>
      <c r="K20" s="31" t="s">
        <v>2</v>
      </c>
      <c r="L20" s="32">
        <f t="shared" si="0"/>
        <v>223398.60000000003</v>
      </c>
      <c r="M20" s="33">
        <v>104477.63200000001</v>
      </c>
      <c r="N20" s="30">
        <v>13227.599999999999</v>
      </c>
      <c r="O20" s="32">
        <f t="shared" si="1"/>
        <v>105693.36800000002</v>
      </c>
      <c r="P20" s="30">
        <v>15991.599999999999</v>
      </c>
      <c r="Q20" s="30">
        <v>265166.90000000002</v>
      </c>
      <c r="R20" s="32">
        <v>130.70000000000002</v>
      </c>
      <c r="S20" s="30">
        <f t="shared" si="5"/>
        <v>281289.2</v>
      </c>
      <c r="T20" s="34">
        <f t="shared" si="2"/>
        <v>386982.56800000003</v>
      </c>
      <c r="U20" s="30">
        <f t="shared" si="3"/>
        <v>602196.56799999997</v>
      </c>
    </row>
    <row r="21" spans="1:21" s="36" customFormat="1" ht="15.75">
      <c r="A21" s="42">
        <v>39903</v>
      </c>
      <c r="B21" s="30">
        <v>105784.50000000003</v>
      </c>
      <c r="C21" s="30">
        <v>92328.9</v>
      </c>
      <c r="D21" s="30"/>
      <c r="E21" s="30">
        <f t="shared" si="4"/>
        <v>198113.40000000002</v>
      </c>
      <c r="F21" s="30">
        <v>157525.1</v>
      </c>
      <c r="G21" s="30">
        <v>66253.7</v>
      </c>
      <c r="H21" s="30" t="s">
        <v>2</v>
      </c>
      <c r="I21" s="30">
        <v>6953.7</v>
      </c>
      <c r="J21" s="31" t="s">
        <v>2</v>
      </c>
      <c r="K21" s="31" t="s">
        <v>2</v>
      </c>
      <c r="L21" s="32">
        <f t="shared" si="0"/>
        <v>230732.5</v>
      </c>
      <c r="M21" s="33">
        <v>101779.5</v>
      </c>
      <c r="N21" s="30">
        <v>10745.9</v>
      </c>
      <c r="O21" s="32">
        <f t="shared" si="1"/>
        <v>118207.1</v>
      </c>
      <c r="P21" s="30">
        <v>12695.3</v>
      </c>
      <c r="Q21" s="30">
        <v>273015.60000000003</v>
      </c>
      <c r="R21" s="32">
        <v>126.7</v>
      </c>
      <c r="S21" s="30">
        <f t="shared" si="5"/>
        <v>285837.60000000003</v>
      </c>
      <c r="T21" s="34">
        <f t="shared" si="2"/>
        <v>404044.70000000007</v>
      </c>
      <c r="U21" s="30">
        <f t="shared" si="3"/>
        <v>602158.10000000009</v>
      </c>
    </row>
    <row r="22" spans="1:21" s="36" customFormat="1" ht="15.75">
      <c r="A22" s="42">
        <v>39933</v>
      </c>
      <c r="B22" s="30">
        <v>90877.500000000029</v>
      </c>
      <c r="C22" s="30">
        <v>89777.400000000023</v>
      </c>
      <c r="D22" s="30"/>
      <c r="E22" s="30">
        <f t="shared" si="4"/>
        <v>180654.90000000005</v>
      </c>
      <c r="F22" s="30">
        <v>163693.70000000001</v>
      </c>
      <c r="G22" s="30">
        <v>66353.7</v>
      </c>
      <c r="H22" s="30" t="s">
        <v>2</v>
      </c>
      <c r="I22" s="30">
        <v>9039.1</v>
      </c>
      <c r="J22" s="31" t="s">
        <v>2</v>
      </c>
      <c r="K22" s="31" t="s">
        <v>2</v>
      </c>
      <c r="L22" s="32">
        <f t="shared" si="0"/>
        <v>239086.50000000003</v>
      </c>
      <c r="M22" s="33">
        <v>93895.6</v>
      </c>
      <c r="N22" s="30">
        <v>11639.400000000003</v>
      </c>
      <c r="O22" s="32">
        <f t="shared" si="1"/>
        <v>133551.50000000003</v>
      </c>
      <c r="P22" s="30">
        <v>11258.4</v>
      </c>
      <c r="Q22" s="30">
        <v>275860</v>
      </c>
      <c r="R22" s="32">
        <v>152.1</v>
      </c>
      <c r="S22" s="30">
        <f t="shared" si="5"/>
        <v>287270.5</v>
      </c>
      <c r="T22" s="34">
        <f t="shared" si="2"/>
        <v>420822</v>
      </c>
      <c r="U22" s="30">
        <f t="shared" si="3"/>
        <v>601476.9</v>
      </c>
    </row>
    <row r="23" spans="1:21" s="36" customFormat="1" ht="15.75">
      <c r="A23" s="42">
        <v>39964</v>
      </c>
      <c r="B23" s="30">
        <v>154336.40000000008</v>
      </c>
      <c r="C23" s="30">
        <v>89065.299999999988</v>
      </c>
      <c r="D23" s="30"/>
      <c r="E23" s="30">
        <f t="shared" si="4"/>
        <v>243401.70000000007</v>
      </c>
      <c r="F23" s="30">
        <v>131037.20000000001</v>
      </c>
      <c r="G23" s="30">
        <v>103194.9</v>
      </c>
      <c r="H23" s="30" t="s">
        <v>2</v>
      </c>
      <c r="I23" s="30">
        <v>6620.5999999999995</v>
      </c>
      <c r="J23" s="31" t="s">
        <v>2</v>
      </c>
      <c r="K23" s="31" t="s">
        <v>2</v>
      </c>
      <c r="L23" s="32">
        <f t="shared" si="0"/>
        <v>240852.7</v>
      </c>
      <c r="M23" s="33">
        <v>127178.00000000001</v>
      </c>
      <c r="N23" s="30">
        <v>10597.9</v>
      </c>
      <c r="O23" s="32">
        <f t="shared" si="1"/>
        <v>103076.8</v>
      </c>
      <c r="P23" s="30">
        <v>10002.6</v>
      </c>
      <c r="Q23" s="30">
        <v>280752.8</v>
      </c>
      <c r="R23" s="32">
        <v>146.30000000000001</v>
      </c>
      <c r="S23" s="30">
        <f t="shared" si="5"/>
        <v>290901.69999999995</v>
      </c>
      <c r="T23" s="34">
        <f t="shared" si="2"/>
        <v>393978.49999999994</v>
      </c>
      <c r="U23" s="30">
        <f t="shared" si="3"/>
        <v>637380.19999999995</v>
      </c>
    </row>
    <row r="24" spans="1:21" s="36" customFormat="1" ht="15.75">
      <c r="A24" s="42">
        <v>39994</v>
      </c>
      <c r="B24" s="30">
        <v>148241.89999999997</v>
      </c>
      <c r="C24" s="30">
        <v>88724.5</v>
      </c>
      <c r="D24" s="30"/>
      <c r="E24" s="30">
        <f t="shared" si="4"/>
        <v>236966.39999999997</v>
      </c>
      <c r="F24" s="30">
        <v>153145.30000000002</v>
      </c>
      <c r="G24" s="30">
        <v>100670</v>
      </c>
      <c r="H24" s="30" t="s">
        <v>2</v>
      </c>
      <c r="I24" s="30">
        <v>9624.6</v>
      </c>
      <c r="J24" s="31" t="s">
        <v>2</v>
      </c>
      <c r="K24" s="31" t="s">
        <v>2</v>
      </c>
      <c r="L24" s="32">
        <f t="shared" si="0"/>
        <v>263439.90000000002</v>
      </c>
      <c r="M24" s="33">
        <v>125026.4</v>
      </c>
      <c r="N24" s="30">
        <v>13685.099999999999</v>
      </c>
      <c r="O24" s="32">
        <f t="shared" si="1"/>
        <v>124728.40000000002</v>
      </c>
      <c r="P24" s="30">
        <v>10443.4</v>
      </c>
      <c r="Q24" s="30">
        <v>285914.39999999997</v>
      </c>
      <c r="R24" s="32">
        <v>142.10000000000002</v>
      </c>
      <c r="S24" s="30">
        <f t="shared" si="5"/>
        <v>296499.89999999997</v>
      </c>
      <c r="T24" s="34">
        <f t="shared" si="2"/>
        <v>421228.3</v>
      </c>
      <c r="U24" s="30">
        <f t="shared" si="3"/>
        <v>658194.69999999995</v>
      </c>
    </row>
    <row r="25" spans="1:21" s="36" customFormat="1" ht="15.75">
      <c r="A25" s="42">
        <v>40025</v>
      </c>
      <c r="B25" s="30">
        <v>132152.60000000003</v>
      </c>
      <c r="C25" s="30">
        <v>87512.499999999985</v>
      </c>
      <c r="D25" s="30"/>
      <c r="E25" s="30">
        <f t="shared" si="4"/>
        <v>219665.10000000003</v>
      </c>
      <c r="F25" s="30">
        <v>147058</v>
      </c>
      <c r="G25" s="30">
        <v>106002.2</v>
      </c>
      <c r="H25" s="30" t="s">
        <v>2</v>
      </c>
      <c r="I25" s="30">
        <v>6644.5</v>
      </c>
      <c r="J25" s="31" t="s">
        <v>2</v>
      </c>
      <c r="K25" s="31" t="s">
        <v>2</v>
      </c>
      <c r="L25" s="32">
        <f t="shared" si="0"/>
        <v>259704.7</v>
      </c>
      <c r="M25" s="33">
        <v>115641</v>
      </c>
      <c r="N25" s="30">
        <v>12756.2</v>
      </c>
      <c r="O25" s="32">
        <f t="shared" si="1"/>
        <v>131307.5</v>
      </c>
      <c r="P25" s="30">
        <v>14183.899999999998</v>
      </c>
      <c r="Q25" s="30">
        <v>290106.40000000002</v>
      </c>
      <c r="R25" s="32">
        <v>429.20000000000005</v>
      </c>
      <c r="S25" s="30">
        <f t="shared" si="5"/>
        <v>304719.50000000006</v>
      </c>
      <c r="T25" s="34">
        <f t="shared" si="2"/>
        <v>436027.00000000006</v>
      </c>
      <c r="U25" s="30">
        <f t="shared" si="3"/>
        <v>655692.10000000009</v>
      </c>
    </row>
    <row r="26" spans="1:21" s="36" customFormat="1" ht="15.75">
      <c r="A26" s="42">
        <v>40056</v>
      </c>
      <c r="B26" s="30">
        <v>115750.00000000003</v>
      </c>
      <c r="C26" s="30">
        <v>92033.199999999983</v>
      </c>
      <c r="D26" s="30"/>
      <c r="E26" s="30">
        <f t="shared" si="4"/>
        <v>207783.2</v>
      </c>
      <c r="F26" s="30">
        <v>156341.6</v>
      </c>
      <c r="G26" s="30">
        <v>105584.9</v>
      </c>
      <c r="H26" s="30" t="s">
        <v>2</v>
      </c>
      <c r="I26" s="30">
        <v>6352.8</v>
      </c>
      <c r="J26" s="31" t="s">
        <v>2</v>
      </c>
      <c r="K26" s="31" t="s">
        <v>2</v>
      </c>
      <c r="L26" s="32">
        <f t="shared" si="0"/>
        <v>268279.3</v>
      </c>
      <c r="M26" s="33">
        <v>110373.8</v>
      </c>
      <c r="N26" s="30">
        <v>11905</v>
      </c>
      <c r="O26" s="32">
        <f t="shared" si="1"/>
        <v>146000.5</v>
      </c>
      <c r="P26" s="30">
        <v>16355.099999999999</v>
      </c>
      <c r="Q26" s="30">
        <v>291438.90000000002</v>
      </c>
      <c r="R26" s="32">
        <v>405.20000000000005</v>
      </c>
      <c r="S26" s="30">
        <f t="shared" si="5"/>
        <v>308199.2</v>
      </c>
      <c r="T26" s="34">
        <f t="shared" si="2"/>
        <v>454199.7</v>
      </c>
      <c r="U26" s="30">
        <f t="shared" si="3"/>
        <v>661982.9</v>
      </c>
    </row>
    <row r="27" spans="1:21" s="36" customFormat="1" ht="15.75">
      <c r="A27" s="42">
        <v>40086</v>
      </c>
      <c r="B27" s="30">
        <v>133943.70000000004</v>
      </c>
      <c r="C27" s="30">
        <v>88222.400000000009</v>
      </c>
      <c r="D27" s="30"/>
      <c r="E27" s="30">
        <f t="shared" si="4"/>
        <v>222166.10000000003</v>
      </c>
      <c r="F27" s="30">
        <v>138074.1</v>
      </c>
      <c r="G27" s="30">
        <v>111702.90000000001</v>
      </c>
      <c r="H27" s="30" t="s">
        <v>2</v>
      </c>
      <c r="I27" s="30">
        <v>6331.8</v>
      </c>
      <c r="J27" s="31" t="s">
        <v>2</v>
      </c>
      <c r="K27" s="31" t="s">
        <v>2</v>
      </c>
      <c r="L27" s="32">
        <f t="shared" si="0"/>
        <v>256108.79999999999</v>
      </c>
      <c r="M27" s="33">
        <v>103935.40000000001</v>
      </c>
      <c r="N27" s="30">
        <v>13697.7</v>
      </c>
      <c r="O27" s="32">
        <f t="shared" si="1"/>
        <v>138475.69999999995</v>
      </c>
      <c r="P27" s="30">
        <v>13712.800000000001</v>
      </c>
      <c r="Q27" s="30">
        <v>303197.90000000002</v>
      </c>
      <c r="R27" s="32">
        <v>396.70000000000005</v>
      </c>
      <c r="S27" s="30">
        <f t="shared" si="5"/>
        <v>317307.40000000002</v>
      </c>
      <c r="T27" s="34">
        <f t="shared" si="2"/>
        <v>455783.1</v>
      </c>
      <c r="U27" s="30">
        <f t="shared" si="3"/>
        <v>677949.2</v>
      </c>
    </row>
    <row r="28" spans="1:21" s="36" customFormat="1" ht="15.75">
      <c r="A28" s="42">
        <v>40117</v>
      </c>
      <c r="B28" s="30">
        <v>129014.59999999998</v>
      </c>
      <c r="C28" s="30">
        <v>87002.4</v>
      </c>
      <c r="D28" s="30"/>
      <c r="E28" s="30">
        <f t="shared" si="4"/>
        <v>216016.99999999997</v>
      </c>
      <c r="F28" s="30">
        <v>148531</v>
      </c>
      <c r="G28" s="30">
        <v>113360.5</v>
      </c>
      <c r="H28" s="30" t="s">
        <v>2</v>
      </c>
      <c r="I28" s="30">
        <v>6576.2</v>
      </c>
      <c r="J28" s="31" t="s">
        <v>2</v>
      </c>
      <c r="K28" s="31" t="s">
        <v>2</v>
      </c>
      <c r="L28" s="32">
        <f t="shared" si="0"/>
        <v>268467.7</v>
      </c>
      <c r="M28" s="33">
        <v>104063.5</v>
      </c>
      <c r="N28" s="30">
        <v>15167.399999999998</v>
      </c>
      <c r="O28" s="32">
        <f t="shared" si="1"/>
        <v>149236.80000000002</v>
      </c>
      <c r="P28" s="30">
        <v>12242.300000000001</v>
      </c>
      <c r="Q28" s="30">
        <v>310656.40000000008</v>
      </c>
      <c r="R28" s="32">
        <v>295.3</v>
      </c>
      <c r="S28" s="30">
        <f t="shared" si="5"/>
        <v>323194.00000000006</v>
      </c>
      <c r="T28" s="34">
        <f t="shared" si="2"/>
        <v>472430.80000000005</v>
      </c>
      <c r="U28" s="30">
        <f t="shared" si="3"/>
        <v>688447.8</v>
      </c>
    </row>
    <row r="29" spans="1:21" s="36" customFormat="1" ht="15.75">
      <c r="A29" s="42">
        <v>40147</v>
      </c>
      <c r="B29" s="30">
        <v>120358.70000000001</v>
      </c>
      <c r="C29" s="30">
        <v>92642.1</v>
      </c>
      <c r="D29" s="30"/>
      <c r="E29" s="30">
        <f t="shared" si="4"/>
        <v>213000.80000000002</v>
      </c>
      <c r="F29" s="30">
        <v>174575.8</v>
      </c>
      <c r="G29" s="30">
        <v>101650.3</v>
      </c>
      <c r="H29" s="30" t="s">
        <v>2</v>
      </c>
      <c r="I29" s="30">
        <v>6466</v>
      </c>
      <c r="J29" s="31" t="s">
        <v>2</v>
      </c>
      <c r="K29" s="31" t="s">
        <v>2</v>
      </c>
      <c r="L29" s="32">
        <f t="shared" si="0"/>
        <v>282692.09999999998</v>
      </c>
      <c r="M29" s="33">
        <v>123845.3</v>
      </c>
      <c r="N29" s="30">
        <v>15123.200000000003</v>
      </c>
      <c r="O29" s="32">
        <f t="shared" si="1"/>
        <v>143723.59999999998</v>
      </c>
      <c r="P29" s="30">
        <v>9760.8999999999978</v>
      </c>
      <c r="Q29" s="30">
        <v>323284.70000000007</v>
      </c>
      <c r="R29" s="32">
        <v>277</v>
      </c>
      <c r="S29" s="30">
        <f t="shared" si="5"/>
        <v>333322.60000000009</v>
      </c>
      <c r="T29" s="34">
        <f t="shared" si="2"/>
        <v>477046.20000000007</v>
      </c>
      <c r="U29" s="30">
        <f t="shared" si="3"/>
        <v>690047.00000000012</v>
      </c>
    </row>
    <row r="30" spans="1:21" s="36" customFormat="1" ht="15.75">
      <c r="A30" s="42">
        <v>40178</v>
      </c>
      <c r="B30" s="30">
        <v>144966.20000000007</v>
      </c>
      <c r="C30" s="30">
        <v>119531.40000000002</v>
      </c>
      <c r="D30" s="30"/>
      <c r="E30" s="30">
        <f t="shared" si="4"/>
        <v>264497.60000000009</v>
      </c>
      <c r="F30" s="30">
        <v>215622.30000000002</v>
      </c>
      <c r="G30" s="30">
        <v>100072.8</v>
      </c>
      <c r="H30" s="30" t="s">
        <v>2</v>
      </c>
      <c r="I30" s="30">
        <v>11255.3</v>
      </c>
      <c r="J30" s="31" t="s">
        <v>2</v>
      </c>
      <c r="K30" s="31" t="s">
        <v>2</v>
      </c>
      <c r="L30" s="32">
        <f t="shared" si="0"/>
        <v>326950.40000000002</v>
      </c>
      <c r="M30" s="33">
        <v>133925.09999999998</v>
      </c>
      <c r="N30" s="30">
        <v>14842.5</v>
      </c>
      <c r="O30" s="32">
        <f t="shared" si="1"/>
        <v>178182.80000000005</v>
      </c>
      <c r="P30" s="30">
        <v>8440.7000000000007</v>
      </c>
      <c r="Q30" s="30">
        <v>321233.5</v>
      </c>
      <c r="R30" s="32">
        <v>497.1</v>
      </c>
      <c r="S30" s="30">
        <f t="shared" si="5"/>
        <v>330171.3</v>
      </c>
      <c r="T30" s="34">
        <f t="shared" si="2"/>
        <v>508354.10000000003</v>
      </c>
      <c r="U30" s="30">
        <f t="shared" si="3"/>
        <v>772851.70000000019</v>
      </c>
    </row>
    <row r="31" spans="1:21" s="36" customFormat="1" ht="15.75">
      <c r="A31" s="42">
        <v>40209</v>
      </c>
      <c r="B31" s="30">
        <v>153042.50000000006</v>
      </c>
      <c r="C31" s="30">
        <v>117804.09999999999</v>
      </c>
      <c r="D31" s="30"/>
      <c r="E31" s="30">
        <f t="shared" si="4"/>
        <v>270846.60000000003</v>
      </c>
      <c r="F31" s="30">
        <v>161824.1</v>
      </c>
      <c r="G31" s="30">
        <v>99123.8</v>
      </c>
      <c r="H31" s="30" t="s">
        <v>2</v>
      </c>
      <c r="I31" s="30">
        <v>9359.6999999999989</v>
      </c>
      <c r="J31" s="30">
        <v>6525</v>
      </c>
      <c r="K31" s="30" t="s">
        <v>2</v>
      </c>
      <c r="L31" s="32">
        <f t="shared" si="0"/>
        <v>276832.60000000003</v>
      </c>
      <c r="M31" s="33">
        <v>135087.70000000001</v>
      </c>
      <c r="N31" s="30">
        <v>12646.6</v>
      </c>
      <c r="O31" s="32">
        <f t="shared" si="1"/>
        <v>129098.30000000002</v>
      </c>
      <c r="P31" s="30">
        <v>6768.0999999999995</v>
      </c>
      <c r="Q31" s="30">
        <v>323617.89999999997</v>
      </c>
      <c r="R31" s="32">
        <v>363.6</v>
      </c>
      <c r="S31" s="30">
        <f t="shared" si="5"/>
        <v>330749.59999999992</v>
      </c>
      <c r="T31" s="34">
        <f t="shared" si="2"/>
        <v>459847.89999999991</v>
      </c>
      <c r="U31" s="30">
        <f t="shared" si="3"/>
        <v>730694.5</v>
      </c>
    </row>
    <row r="32" spans="1:21" s="36" customFormat="1" ht="15.75">
      <c r="A32" s="42">
        <v>40237</v>
      </c>
      <c r="B32" s="30">
        <v>150227.50000000003</v>
      </c>
      <c r="C32" s="30">
        <v>122034.5</v>
      </c>
      <c r="D32" s="30"/>
      <c r="E32" s="30">
        <f t="shared" si="4"/>
        <v>272262</v>
      </c>
      <c r="F32" s="30">
        <v>171434.6</v>
      </c>
      <c r="G32" s="30">
        <v>99350.599999999991</v>
      </c>
      <c r="H32" s="30" t="s">
        <v>2</v>
      </c>
      <c r="I32" s="30">
        <v>9111</v>
      </c>
      <c r="J32" s="30">
        <v>6525</v>
      </c>
      <c r="K32" s="30" t="s">
        <v>2</v>
      </c>
      <c r="L32" s="32">
        <f t="shared" si="0"/>
        <v>286421.2</v>
      </c>
      <c r="M32" s="33">
        <v>145525.6</v>
      </c>
      <c r="N32" s="30">
        <v>14153.599999999999</v>
      </c>
      <c r="O32" s="32">
        <f t="shared" si="1"/>
        <v>126742</v>
      </c>
      <c r="P32" s="30">
        <v>6538.1</v>
      </c>
      <c r="Q32" s="30">
        <v>334217.7</v>
      </c>
      <c r="R32" s="32">
        <v>457.29999999999995</v>
      </c>
      <c r="S32" s="30">
        <f t="shared" si="5"/>
        <v>341213.1</v>
      </c>
      <c r="T32" s="34">
        <f t="shared" si="2"/>
        <v>467955.1</v>
      </c>
      <c r="U32" s="30">
        <f t="shared" si="3"/>
        <v>740217.1</v>
      </c>
    </row>
    <row r="33" spans="1:21" s="36" customFormat="1" ht="15.75">
      <c r="A33" s="42">
        <v>40268</v>
      </c>
      <c r="B33" s="30">
        <v>136213.69999999992</v>
      </c>
      <c r="C33" s="30">
        <v>122176.10000000003</v>
      </c>
      <c r="D33" s="30"/>
      <c r="E33" s="30">
        <f t="shared" si="4"/>
        <v>258389.79999999996</v>
      </c>
      <c r="F33" s="30">
        <v>154941.59999999998</v>
      </c>
      <c r="G33" s="30">
        <v>114821.4</v>
      </c>
      <c r="H33" s="30" t="s">
        <v>2</v>
      </c>
      <c r="I33" s="30">
        <v>8598.3000000000011</v>
      </c>
      <c r="J33" s="30">
        <v>18525</v>
      </c>
      <c r="K33" s="30" t="s">
        <v>2</v>
      </c>
      <c r="L33" s="32">
        <f t="shared" si="0"/>
        <v>296886.3</v>
      </c>
      <c r="M33" s="33">
        <v>137174.40000000002</v>
      </c>
      <c r="N33" s="30">
        <v>15411</v>
      </c>
      <c r="O33" s="32">
        <f t="shared" si="1"/>
        <v>144300.89999999997</v>
      </c>
      <c r="P33" s="30">
        <v>6418.5000000000009</v>
      </c>
      <c r="Q33" s="30">
        <v>342239.60000000003</v>
      </c>
      <c r="R33" s="32">
        <v>462.8</v>
      </c>
      <c r="S33" s="30">
        <f t="shared" si="5"/>
        <v>349120.9</v>
      </c>
      <c r="T33" s="34">
        <f t="shared" si="2"/>
        <v>493421.8</v>
      </c>
      <c r="U33" s="30">
        <f t="shared" si="3"/>
        <v>751811.6</v>
      </c>
    </row>
    <row r="34" spans="1:21" s="36" customFormat="1" ht="15.75">
      <c r="A34" s="42">
        <v>40298</v>
      </c>
      <c r="B34" s="30">
        <v>124940.20000000007</v>
      </c>
      <c r="C34" s="30">
        <v>108840.40000000002</v>
      </c>
      <c r="D34" s="30"/>
      <c r="E34" s="30">
        <f t="shared" si="4"/>
        <v>233780.60000000009</v>
      </c>
      <c r="F34" s="30">
        <v>45521.4</v>
      </c>
      <c r="G34" s="30">
        <v>73152.899999999994</v>
      </c>
      <c r="H34" s="30" t="s">
        <v>2</v>
      </c>
      <c r="I34" s="30">
        <v>8719.1</v>
      </c>
      <c r="J34" s="30">
        <v>18525</v>
      </c>
      <c r="K34" s="30">
        <v>147596</v>
      </c>
      <c r="L34" s="32">
        <f t="shared" si="0"/>
        <v>293514.40000000002</v>
      </c>
      <c r="M34" s="33">
        <v>121214.40000000002</v>
      </c>
      <c r="N34" s="30">
        <v>15187.500000000004</v>
      </c>
      <c r="O34" s="32">
        <f t="shared" si="1"/>
        <v>157112.5</v>
      </c>
      <c r="P34" s="30">
        <v>6268.5</v>
      </c>
      <c r="Q34" s="30">
        <v>349366.80000000005</v>
      </c>
      <c r="R34" s="32">
        <v>429.1</v>
      </c>
      <c r="S34" s="30">
        <f t="shared" si="5"/>
        <v>356064.4</v>
      </c>
      <c r="T34" s="34">
        <f t="shared" si="2"/>
        <v>513176.9</v>
      </c>
      <c r="U34" s="30">
        <f t="shared" si="3"/>
        <v>746957.50000000012</v>
      </c>
    </row>
    <row r="35" spans="1:21" s="36" customFormat="1" ht="15.75">
      <c r="A35" s="42">
        <v>40329</v>
      </c>
      <c r="B35" s="30">
        <v>110538.00000000006</v>
      </c>
      <c r="C35" s="30">
        <v>100611.79999999999</v>
      </c>
      <c r="D35" s="30"/>
      <c r="E35" s="30">
        <f t="shared" si="4"/>
        <v>211149.80000000005</v>
      </c>
      <c r="F35" s="30">
        <v>24665.8</v>
      </c>
      <c r="G35" s="30">
        <v>86658.5</v>
      </c>
      <c r="H35" s="30" t="s">
        <v>2</v>
      </c>
      <c r="I35" s="30">
        <v>7955.0999999999995</v>
      </c>
      <c r="J35" s="30">
        <v>18525</v>
      </c>
      <c r="K35" s="30">
        <v>147287.9</v>
      </c>
      <c r="L35" s="32">
        <f t="shared" si="0"/>
        <v>285092.30000000005</v>
      </c>
      <c r="M35" s="33">
        <v>109438.09999999999</v>
      </c>
      <c r="N35" s="30">
        <v>14048.7</v>
      </c>
      <c r="O35" s="32">
        <f t="shared" si="1"/>
        <v>161605.50000000006</v>
      </c>
      <c r="P35" s="30">
        <v>8259.9</v>
      </c>
      <c r="Q35" s="30">
        <v>354485.49999999994</v>
      </c>
      <c r="R35" s="32">
        <v>595.79999999999995</v>
      </c>
      <c r="S35" s="30">
        <f t="shared" si="5"/>
        <v>363341.19999999995</v>
      </c>
      <c r="T35" s="34">
        <f t="shared" si="2"/>
        <v>524946.69999999995</v>
      </c>
      <c r="U35" s="30">
        <f t="shared" si="3"/>
        <v>736096.5</v>
      </c>
    </row>
    <row r="36" spans="1:21" s="36" customFormat="1" ht="15.75">
      <c r="A36" s="42">
        <v>40359</v>
      </c>
      <c r="B36" s="30">
        <v>94137.999999999971</v>
      </c>
      <c r="C36" s="30">
        <v>102210.99999999997</v>
      </c>
      <c r="D36" s="30"/>
      <c r="E36" s="30">
        <f t="shared" si="4"/>
        <v>196348.99999999994</v>
      </c>
      <c r="F36" s="30">
        <v>33331.199999999997</v>
      </c>
      <c r="G36" s="30">
        <v>79001.5</v>
      </c>
      <c r="H36" s="30" t="s">
        <v>2</v>
      </c>
      <c r="I36" s="30">
        <v>9787.6999999999989</v>
      </c>
      <c r="J36" s="30">
        <v>40525</v>
      </c>
      <c r="K36" s="30">
        <v>146979.70000000001</v>
      </c>
      <c r="L36" s="32">
        <f t="shared" si="0"/>
        <v>309625.09999999998</v>
      </c>
      <c r="M36" s="33">
        <v>114248.4</v>
      </c>
      <c r="N36" s="30">
        <v>15094.000000000002</v>
      </c>
      <c r="O36" s="32">
        <f t="shared" si="1"/>
        <v>180282.69999999998</v>
      </c>
      <c r="P36" s="30">
        <v>9789</v>
      </c>
      <c r="Q36" s="30">
        <v>378377.39999999997</v>
      </c>
      <c r="R36" s="32">
        <v>512.09999999999991</v>
      </c>
      <c r="S36" s="30">
        <f t="shared" si="5"/>
        <v>388678.49999999994</v>
      </c>
      <c r="T36" s="34">
        <f t="shared" si="2"/>
        <v>568961.19999999995</v>
      </c>
      <c r="U36" s="30">
        <f t="shared" si="3"/>
        <v>765310.2</v>
      </c>
    </row>
    <row r="37" spans="1:21" s="36" customFormat="1" ht="15.75">
      <c r="A37" s="42">
        <v>40390</v>
      </c>
      <c r="B37" s="30">
        <v>91739.900000000023</v>
      </c>
      <c r="C37" s="30">
        <v>109495.9</v>
      </c>
      <c r="D37" s="30"/>
      <c r="E37" s="30">
        <f t="shared" si="4"/>
        <v>201235.80000000002</v>
      </c>
      <c r="F37" s="30">
        <v>30261.7</v>
      </c>
      <c r="G37" s="30">
        <v>76878.5</v>
      </c>
      <c r="H37" s="30" t="s">
        <v>2</v>
      </c>
      <c r="I37" s="30">
        <v>11007.6</v>
      </c>
      <c r="J37" s="30">
        <v>50525</v>
      </c>
      <c r="K37" s="30">
        <v>146671.6</v>
      </c>
      <c r="L37" s="32">
        <f t="shared" si="0"/>
        <v>315344.40000000002</v>
      </c>
      <c r="M37" s="33">
        <v>104308.1</v>
      </c>
      <c r="N37" s="30">
        <v>17832.2</v>
      </c>
      <c r="O37" s="32">
        <f t="shared" si="1"/>
        <v>193204.1</v>
      </c>
      <c r="P37" s="30">
        <v>24237.7</v>
      </c>
      <c r="Q37" s="30">
        <v>380861.39999999997</v>
      </c>
      <c r="R37" s="32">
        <v>677.2</v>
      </c>
      <c r="S37" s="30">
        <f t="shared" si="5"/>
        <v>405776.3</v>
      </c>
      <c r="T37" s="34">
        <f t="shared" si="2"/>
        <v>598980.4</v>
      </c>
      <c r="U37" s="30">
        <f t="shared" si="3"/>
        <v>800216.20000000007</v>
      </c>
    </row>
    <row r="38" spans="1:21" s="36" customFormat="1" ht="15.75">
      <c r="A38" s="42">
        <v>40421</v>
      </c>
      <c r="B38" s="30">
        <v>83653</v>
      </c>
      <c r="C38" s="30">
        <v>101473.7</v>
      </c>
      <c r="D38" s="30"/>
      <c r="E38" s="30">
        <f t="shared" si="4"/>
        <v>185126.7</v>
      </c>
      <c r="F38" s="30">
        <v>37841.9</v>
      </c>
      <c r="G38" s="30">
        <v>87243</v>
      </c>
      <c r="H38" s="30" t="s">
        <v>2</v>
      </c>
      <c r="I38" s="30">
        <v>10351.299999999999</v>
      </c>
      <c r="J38" s="30">
        <v>50525</v>
      </c>
      <c r="K38" s="30">
        <v>146363.5</v>
      </c>
      <c r="L38" s="32">
        <f t="shared" si="0"/>
        <v>332324.69999999995</v>
      </c>
      <c r="M38" s="33">
        <v>116344.12</v>
      </c>
      <c r="N38" s="30">
        <v>14284.900000000001</v>
      </c>
      <c r="O38" s="32">
        <f t="shared" si="1"/>
        <v>201695.67999999996</v>
      </c>
      <c r="P38" s="30">
        <v>24172.199999999997</v>
      </c>
      <c r="Q38" s="30">
        <v>392829.59999999992</v>
      </c>
      <c r="R38" s="32">
        <v>678.59999999999991</v>
      </c>
      <c r="S38" s="30">
        <f t="shared" si="5"/>
        <v>417680.39999999991</v>
      </c>
      <c r="T38" s="34">
        <f t="shared" si="2"/>
        <v>619376.07999999984</v>
      </c>
      <c r="U38" s="30">
        <f t="shared" si="3"/>
        <v>804502.7799999998</v>
      </c>
    </row>
    <row r="39" spans="1:21" s="36" customFormat="1" ht="15.75">
      <c r="A39" s="42">
        <v>40451</v>
      </c>
      <c r="B39" s="30">
        <v>69547.100000000035</v>
      </c>
      <c r="C39" s="30">
        <v>98149.299999999988</v>
      </c>
      <c r="D39" s="30"/>
      <c r="E39" s="30">
        <f t="shared" si="4"/>
        <v>167696.40000000002</v>
      </c>
      <c r="F39" s="30">
        <v>37014.199999999997</v>
      </c>
      <c r="G39" s="30">
        <v>97609.1</v>
      </c>
      <c r="H39" s="30" t="s">
        <v>2</v>
      </c>
      <c r="I39" s="30">
        <v>9655.2999999999993</v>
      </c>
      <c r="J39" s="30">
        <v>50525</v>
      </c>
      <c r="K39" s="30">
        <v>146055.29999999999</v>
      </c>
      <c r="L39" s="32">
        <f t="shared" si="0"/>
        <v>340858.89999999997</v>
      </c>
      <c r="M39" s="33">
        <v>108989</v>
      </c>
      <c r="N39" s="30">
        <v>13247.7</v>
      </c>
      <c r="O39" s="32">
        <f t="shared" si="1"/>
        <v>218622.19999999995</v>
      </c>
      <c r="P39" s="30">
        <v>21154.600000000002</v>
      </c>
      <c r="Q39" s="30">
        <v>401374.89999999997</v>
      </c>
      <c r="R39" s="32">
        <v>647.79999999999995</v>
      </c>
      <c r="S39" s="30">
        <f t="shared" si="5"/>
        <v>423177.29999999993</v>
      </c>
      <c r="T39" s="34">
        <f t="shared" ref="T39:T93" si="6">S39+O39</f>
        <v>641799.49999999988</v>
      </c>
      <c r="U39" s="30">
        <f t="shared" ref="U39:U70" si="7">T39+E39</f>
        <v>809495.89999999991</v>
      </c>
    </row>
    <row r="40" spans="1:21" s="36" customFormat="1" ht="15.75">
      <c r="A40" s="42">
        <v>40482</v>
      </c>
      <c r="B40" s="30">
        <v>66483.800000000047</v>
      </c>
      <c r="C40" s="30">
        <v>108069.90000000001</v>
      </c>
      <c r="D40" s="30"/>
      <c r="E40" s="30">
        <f t="shared" si="4"/>
        <v>174553.70000000007</v>
      </c>
      <c r="F40" s="30">
        <v>25932</v>
      </c>
      <c r="G40" s="30">
        <v>108265.2</v>
      </c>
      <c r="H40" s="30" t="s">
        <v>2</v>
      </c>
      <c r="I40" s="30">
        <v>9619.8000000000011</v>
      </c>
      <c r="J40" s="30">
        <v>50525</v>
      </c>
      <c r="K40" s="30">
        <v>145747.20000000001</v>
      </c>
      <c r="L40" s="32">
        <f t="shared" si="0"/>
        <v>340089.2</v>
      </c>
      <c r="M40" s="33">
        <v>122944.1</v>
      </c>
      <c r="N40" s="30">
        <v>12589.2</v>
      </c>
      <c r="O40" s="32">
        <f t="shared" si="1"/>
        <v>204555.9</v>
      </c>
      <c r="P40" s="30">
        <v>17146</v>
      </c>
      <c r="Q40" s="30">
        <v>410459.6</v>
      </c>
      <c r="R40" s="32">
        <v>656.2</v>
      </c>
      <c r="S40" s="30">
        <f t="shared" si="5"/>
        <v>428261.8</v>
      </c>
      <c r="T40" s="34">
        <f t="shared" si="6"/>
        <v>632817.69999999995</v>
      </c>
      <c r="U40" s="30">
        <f t="shared" si="7"/>
        <v>807371.4</v>
      </c>
    </row>
    <row r="41" spans="1:21" s="36" customFormat="1" ht="15.75">
      <c r="A41" s="42">
        <v>40512</v>
      </c>
      <c r="B41" s="30">
        <v>74650.300000000047</v>
      </c>
      <c r="C41" s="30">
        <v>103346.49999999997</v>
      </c>
      <c r="D41" s="30"/>
      <c r="E41" s="30">
        <f t="shared" si="4"/>
        <v>177996.80000000002</v>
      </c>
      <c r="F41" s="30">
        <v>35424.1</v>
      </c>
      <c r="G41" s="30">
        <v>107157.2</v>
      </c>
      <c r="H41" s="30" t="s">
        <v>2</v>
      </c>
      <c r="I41" s="30">
        <v>10363.699999999999</v>
      </c>
      <c r="J41" s="30">
        <v>50525</v>
      </c>
      <c r="K41" s="30">
        <v>145439.1</v>
      </c>
      <c r="L41" s="32">
        <f t="shared" si="0"/>
        <v>348909.1</v>
      </c>
      <c r="M41" s="33">
        <v>112932.1</v>
      </c>
      <c r="N41" s="30">
        <v>12494.599999999999</v>
      </c>
      <c r="O41" s="32">
        <f t="shared" si="1"/>
        <v>223482.39999999997</v>
      </c>
      <c r="P41" s="30">
        <v>12787.9</v>
      </c>
      <c r="Q41" s="30">
        <v>412702.2</v>
      </c>
      <c r="R41" s="32">
        <v>620.79999999999995</v>
      </c>
      <c r="S41" s="30">
        <f t="shared" si="5"/>
        <v>426110.9</v>
      </c>
      <c r="T41" s="34">
        <f t="shared" si="6"/>
        <v>649593.30000000005</v>
      </c>
      <c r="U41" s="30">
        <f t="shared" si="7"/>
        <v>827590.10000000009</v>
      </c>
    </row>
    <row r="42" spans="1:21" s="36" customFormat="1" ht="15.75">
      <c r="A42" s="42">
        <v>40543</v>
      </c>
      <c r="B42" s="30">
        <v>141613.59999999998</v>
      </c>
      <c r="C42" s="30">
        <v>112437.40000000001</v>
      </c>
      <c r="D42" s="30"/>
      <c r="E42" s="30">
        <f t="shared" si="4"/>
        <v>254051</v>
      </c>
      <c r="F42" s="30">
        <v>19134.2</v>
      </c>
      <c r="G42" s="30">
        <v>109104.5</v>
      </c>
      <c r="H42" s="30" t="s">
        <v>2</v>
      </c>
      <c r="I42" s="30">
        <v>14177.3</v>
      </c>
      <c r="J42" s="30">
        <v>88925</v>
      </c>
      <c r="K42" s="30">
        <v>145130.9</v>
      </c>
      <c r="L42" s="32">
        <f t="shared" si="0"/>
        <v>376471.9</v>
      </c>
      <c r="M42" s="33">
        <v>154442.40000000002</v>
      </c>
      <c r="N42" s="30">
        <v>11748.2</v>
      </c>
      <c r="O42" s="32">
        <f t="shared" si="1"/>
        <v>210281.3</v>
      </c>
      <c r="P42" s="30">
        <v>8682.2000000000007</v>
      </c>
      <c r="Q42" s="30">
        <v>460562.3</v>
      </c>
      <c r="R42" s="32">
        <v>599.4</v>
      </c>
      <c r="S42" s="30">
        <f t="shared" si="5"/>
        <v>469843.9</v>
      </c>
      <c r="T42" s="34">
        <f t="shared" si="6"/>
        <v>680125.2</v>
      </c>
      <c r="U42" s="30">
        <f t="shared" si="7"/>
        <v>934176.2</v>
      </c>
    </row>
    <row r="43" spans="1:21" s="36" customFormat="1" ht="15.75">
      <c r="A43" s="42">
        <v>40574</v>
      </c>
      <c r="B43" s="30">
        <v>131446.90000000002</v>
      </c>
      <c r="C43" s="30">
        <v>108031.50000000003</v>
      </c>
      <c r="D43" s="30"/>
      <c r="E43" s="30">
        <f t="shared" si="4"/>
        <v>239478.40000000005</v>
      </c>
      <c r="F43" s="30" t="s">
        <v>2</v>
      </c>
      <c r="G43" s="30">
        <v>120122</v>
      </c>
      <c r="H43" s="30" t="s">
        <v>2</v>
      </c>
      <c r="I43" s="30">
        <v>11301.6</v>
      </c>
      <c r="J43" s="30">
        <v>88925</v>
      </c>
      <c r="K43" s="30">
        <v>144822.79999999999</v>
      </c>
      <c r="L43" s="32">
        <f t="shared" si="0"/>
        <v>365171.4</v>
      </c>
      <c r="M43" s="33">
        <v>178191.98333333334</v>
      </c>
      <c r="N43" s="30">
        <v>9081.1</v>
      </c>
      <c r="O43" s="32">
        <f t="shared" si="1"/>
        <v>177898.31666666668</v>
      </c>
      <c r="P43" s="30">
        <v>7606.4000000000005</v>
      </c>
      <c r="Q43" s="30">
        <v>467155.83333333326</v>
      </c>
      <c r="R43" s="32">
        <v>588.79999999999995</v>
      </c>
      <c r="S43" s="30">
        <f t="shared" si="5"/>
        <v>475351.03333333327</v>
      </c>
      <c r="T43" s="34">
        <f t="shared" si="6"/>
        <v>653249.35</v>
      </c>
      <c r="U43" s="30">
        <f t="shared" si="7"/>
        <v>892727.75</v>
      </c>
    </row>
    <row r="44" spans="1:21" s="36" customFormat="1" ht="15.75">
      <c r="A44" s="42">
        <v>40602</v>
      </c>
      <c r="B44" s="30">
        <v>156264.40000000002</v>
      </c>
      <c r="C44" s="30">
        <v>100573.6</v>
      </c>
      <c r="D44" s="30"/>
      <c r="E44" s="30">
        <f t="shared" si="4"/>
        <v>256838.00000000003</v>
      </c>
      <c r="F44" s="30" t="s">
        <v>2</v>
      </c>
      <c r="G44" s="30">
        <v>130026.7</v>
      </c>
      <c r="H44" s="30" t="s">
        <v>2</v>
      </c>
      <c r="I44" s="30">
        <v>10764.699999999999</v>
      </c>
      <c r="J44" s="30">
        <v>88925</v>
      </c>
      <c r="K44" s="30">
        <v>144514.70000000001</v>
      </c>
      <c r="L44" s="32">
        <f t="shared" si="0"/>
        <v>374231.1</v>
      </c>
      <c r="M44" s="33">
        <v>211563.76666666666</v>
      </c>
      <c r="N44" s="30">
        <v>11244.5</v>
      </c>
      <c r="O44" s="32">
        <f t="shared" si="1"/>
        <v>151422.83333333331</v>
      </c>
      <c r="P44" s="30">
        <v>7244.9000000000005</v>
      </c>
      <c r="Q44" s="30">
        <v>483273.76666666666</v>
      </c>
      <c r="R44" s="32">
        <v>508.4</v>
      </c>
      <c r="S44" s="30">
        <f t="shared" si="5"/>
        <v>491027.06666666671</v>
      </c>
      <c r="T44" s="34">
        <f t="shared" si="6"/>
        <v>642449.9</v>
      </c>
      <c r="U44" s="30">
        <f t="shared" si="7"/>
        <v>899287.9</v>
      </c>
    </row>
    <row r="45" spans="1:21" s="36" customFormat="1" ht="15.75">
      <c r="A45" s="42">
        <v>40633</v>
      </c>
      <c r="B45" s="30">
        <v>143339.09999999998</v>
      </c>
      <c r="C45" s="30">
        <v>104483.19999999995</v>
      </c>
      <c r="D45" s="30"/>
      <c r="E45" s="30">
        <f t="shared" si="4"/>
        <v>247822.29999999993</v>
      </c>
      <c r="F45" s="30">
        <v>2480.5</v>
      </c>
      <c r="G45" s="30">
        <v>119566.29999999999</v>
      </c>
      <c r="H45" s="30" t="s">
        <v>2</v>
      </c>
      <c r="I45" s="30">
        <v>12695.1</v>
      </c>
      <c r="J45" s="30">
        <v>74325</v>
      </c>
      <c r="K45" s="30">
        <v>144206.6</v>
      </c>
      <c r="L45" s="32">
        <f t="shared" si="0"/>
        <v>353273.5</v>
      </c>
      <c r="M45" s="33">
        <v>168004.45</v>
      </c>
      <c r="N45" s="30">
        <v>9395.7999999999993</v>
      </c>
      <c r="O45" s="32">
        <f t="shared" si="1"/>
        <v>175873.25</v>
      </c>
      <c r="P45" s="30">
        <v>6471.0000000000009</v>
      </c>
      <c r="Q45" s="30">
        <v>493087.8</v>
      </c>
      <c r="R45" s="32">
        <v>599</v>
      </c>
      <c r="S45" s="30">
        <f t="shared" si="5"/>
        <v>500157.8</v>
      </c>
      <c r="T45" s="34">
        <f t="shared" si="6"/>
        <v>676031.05</v>
      </c>
      <c r="U45" s="30">
        <f t="shared" si="7"/>
        <v>923853.35</v>
      </c>
    </row>
    <row r="46" spans="1:21" s="36" customFormat="1" ht="15.75">
      <c r="A46" s="42">
        <v>40663</v>
      </c>
      <c r="B46" s="30">
        <v>151581.59999999998</v>
      </c>
      <c r="C46" s="30">
        <v>98502.399999999994</v>
      </c>
      <c r="D46" s="30"/>
      <c r="E46" s="30">
        <f t="shared" si="4"/>
        <v>250083.99999999997</v>
      </c>
      <c r="F46" s="30" t="s">
        <v>2</v>
      </c>
      <c r="G46" s="30">
        <v>121966.1</v>
      </c>
      <c r="H46" s="30" t="s">
        <v>2</v>
      </c>
      <c r="I46" s="30">
        <v>15459.300000000001</v>
      </c>
      <c r="J46" s="30">
        <v>74325</v>
      </c>
      <c r="K46" s="30">
        <v>143898.4</v>
      </c>
      <c r="L46" s="32">
        <f t="shared" si="0"/>
        <v>355648.8</v>
      </c>
      <c r="M46" s="33">
        <v>173148.33333333331</v>
      </c>
      <c r="N46" s="30">
        <v>11236.499999999998</v>
      </c>
      <c r="O46" s="32">
        <f t="shared" si="1"/>
        <v>171263.96666666667</v>
      </c>
      <c r="P46" s="30">
        <v>5060.1000000000013</v>
      </c>
      <c r="Q46" s="30">
        <v>501672.03333333333</v>
      </c>
      <c r="R46" s="32">
        <v>583.6</v>
      </c>
      <c r="S46" s="30">
        <f t="shared" si="5"/>
        <v>507315.73333333328</v>
      </c>
      <c r="T46" s="34">
        <f t="shared" si="6"/>
        <v>678579.7</v>
      </c>
      <c r="U46" s="30">
        <f t="shared" si="7"/>
        <v>928663.7</v>
      </c>
    </row>
    <row r="47" spans="1:21" s="36" customFormat="1" ht="15.75">
      <c r="A47" s="42">
        <v>40694</v>
      </c>
      <c r="B47" s="30">
        <v>145435.50000000006</v>
      </c>
      <c r="C47" s="30">
        <v>94834.900000000038</v>
      </c>
      <c r="D47" s="30"/>
      <c r="E47" s="30">
        <f t="shared" si="4"/>
        <v>240270.40000000008</v>
      </c>
      <c r="F47" s="30">
        <v>12986.3</v>
      </c>
      <c r="G47" s="30">
        <v>124240.19999999998</v>
      </c>
      <c r="H47" s="30" t="s">
        <v>2</v>
      </c>
      <c r="I47" s="30">
        <v>19313.400000000001</v>
      </c>
      <c r="J47" s="30">
        <v>74325</v>
      </c>
      <c r="K47" s="30">
        <v>143590.29999999999</v>
      </c>
      <c r="L47" s="32">
        <f t="shared" si="0"/>
        <v>374455.19999999995</v>
      </c>
      <c r="M47" s="33">
        <v>190756.71666666667</v>
      </c>
      <c r="N47" s="30">
        <v>10405.5</v>
      </c>
      <c r="O47" s="32">
        <f t="shared" si="1"/>
        <v>173292.98333333328</v>
      </c>
      <c r="P47" s="30">
        <v>4973.6000000000013</v>
      </c>
      <c r="Q47" s="30">
        <v>521741.36666666664</v>
      </c>
      <c r="R47" s="32">
        <v>631.5</v>
      </c>
      <c r="S47" s="30">
        <f t="shared" si="5"/>
        <v>527346.46666666667</v>
      </c>
      <c r="T47" s="34">
        <f t="shared" si="6"/>
        <v>700639.45</v>
      </c>
      <c r="U47" s="30">
        <f t="shared" si="7"/>
        <v>940909.85000000009</v>
      </c>
    </row>
    <row r="48" spans="1:21" s="36" customFormat="1" ht="15.75">
      <c r="A48" s="42">
        <v>40724</v>
      </c>
      <c r="B48" s="30">
        <v>133383.10000000003</v>
      </c>
      <c r="C48" s="30">
        <v>90655.799999999988</v>
      </c>
      <c r="D48" s="30"/>
      <c r="E48" s="30">
        <f t="shared" si="4"/>
        <v>224038.90000000002</v>
      </c>
      <c r="F48" s="30">
        <v>24462.799999999999</v>
      </c>
      <c r="G48" s="30">
        <v>117440.9</v>
      </c>
      <c r="H48" s="30" t="s">
        <v>2</v>
      </c>
      <c r="I48" s="30">
        <v>17897.8</v>
      </c>
      <c r="J48" s="30">
        <v>74325</v>
      </c>
      <c r="K48" s="30">
        <v>143282.1</v>
      </c>
      <c r="L48" s="32">
        <f t="shared" si="0"/>
        <v>377408.6</v>
      </c>
      <c r="M48" s="33">
        <v>178132.2</v>
      </c>
      <c r="N48" s="30">
        <v>12941</v>
      </c>
      <c r="O48" s="32">
        <f t="shared" si="1"/>
        <v>186335.39999999997</v>
      </c>
      <c r="P48" s="30">
        <v>5148.5000000000009</v>
      </c>
      <c r="Q48" s="30">
        <v>552170.20000000007</v>
      </c>
      <c r="R48" s="32">
        <v>597.5</v>
      </c>
      <c r="S48" s="30">
        <f t="shared" si="5"/>
        <v>557916.20000000007</v>
      </c>
      <c r="T48" s="34">
        <f t="shared" si="6"/>
        <v>744251.60000000009</v>
      </c>
      <c r="U48" s="30">
        <f t="shared" si="7"/>
        <v>968290.50000000012</v>
      </c>
    </row>
    <row r="49" spans="1:21" s="36" customFormat="1" ht="15.75">
      <c r="A49" s="42">
        <v>40755</v>
      </c>
      <c r="B49" s="30">
        <v>119995.09999999998</v>
      </c>
      <c r="C49" s="30">
        <v>94244.900000000023</v>
      </c>
      <c r="D49" s="30"/>
      <c r="E49" s="30">
        <f t="shared" si="4"/>
        <v>214240</v>
      </c>
      <c r="F49" s="30">
        <v>31447.8</v>
      </c>
      <c r="G49" s="30">
        <v>119540.9</v>
      </c>
      <c r="H49" s="30" t="s">
        <v>2</v>
      </c>
      <c r="I49" s="30">
        <v>16240.1</v>
      </c>
      <c r="J49" s="30">
        <v>74325</v>
      </c>
      <c r="K49" s="30">
        <v>142974</v>
      </c>
      <c r="L49" s="32">
        <f t="shared" si="0"/>
        <v>384527.8</v>
      </c>
      <c r="M49" s="33">
        <v>159211.65</v>
      </c>
      <c r="N49" s="30">
        <v>12144.3</v>
      </c>
      <c r="O49" s="32">
        <f t="shared" si="1"/>
        <v>213171.85</v>
      </c>
      <c r="P49" s="30">
        <v>8163.5</v>
      </c>
      <c r="Q49" s="30">
        <v>567671.01666666672</v>
      </c>
      <c r="R49" s="32">
        <v>600</v>
      </c>
      <c r="S49" s="30">
        <f t="shared" si="5"/>
        <v>576434.51666666672</v>
      </c>
      <c r="T49" s="34">
        <f t="shared" si="6"/>
        <v>789606.3666666667</v>
      </c>
      <c r="U49" s="30">
        <f t="shared" si="7"/>
        <v>1003846.3666666667</v>
      </c>
    </row>
    <row r="50" spans="1:21" s="36" customFormat="1" ht="15.75">
      <c r="A50" s="42">
        <v>40786</v>
      </c>
      <c r="B50" s="30">
        <v>101092.90000000002</v>
      </c>
      <c r="C50" s="30">
        <v>95644.100000000035</v>
      </c>
      <c r="D50" s="30"/>
      <c r="E50" s="30">
        <f t="shared" si="4"/>
        <v>196737.00000000006</v>
      </c>
      <c r="F50" s="30">
        <v>35035.800000000003</v>
      </c>
      <c r="G50" s="30">
        <v>104184.4</v>
      </c>
      <c r="H50" s="30" t="s">
        <v>2</v>
      </c>
      <c r="I50" s="30">
        <v>13778.1</v>
      </c>
      <c r="J50" s="30">
        <v>74325</v>
      </c>
      <c r="K50" s="30">
        <v>142665.9</v>
      </c>
      <c r="L50" s="32">
        <f t="shared" si="0"/>
        <v>369989.2</v>
      </c>
      <c r="M50" s="33">
        <v>157183.1</v>
      </c>
      <c r="N50" s="30">
        <v>13843.4</v>
      </c>
      <c r="O50" s="32">
        <f t="shared" si="1"/>
        <v>198962.7</v>
      </c>
      <c r="P50" s="30">
        <v>10457.799999999999</v>
      </c>
      <c r="Q50" s="30">
        <v>584936.33333333337</v>
      </c>
      <c r="R50" s="32">
        <v>573.40000000000009</v>
      </c>
      <c r="S50" s="30">
        <f t="shared" si="5"/>
        <v>595967.53333333344</v>
      </c>
      <c r="T50" s="34">
        <f t="shared" si="6"/>
        <v>794930.2333333334</v>
      </c>
      <c r="U50" s="30">
        <f t="shared" si="7"/>
        <v>991667.2333333334</v>
      </c>
    </row>
    <row r="51" spans="1:21" s="36" customFormat="1" ht="15.75">
      <c r="A51" s="42">
        <v>40816</v>
      </c>
      <c r="B51" s="30">
        <v>81241.400000000023</v>
      </c>
      <c r="C51" s="30">
        <v>88234.400000000023</v>
      </c>
      <c r="D51" s="30"/>
      <c r="E51" s="30">
        <f t="shared" si="4"/>
        <v>169475.80000000005</v>
      </c>
      <c r="F51" s="30">
        <v>29256.3</v>
      </c>
      <c r="G51" s="30">
        <v>106984.4</v>
      </c>
      <c r="H51" s="30" t="s">
        <v>2</v>
      </c>
      <c r="I51" s="30">
        <v>12911.2</v>
      </c>
      <c r="J51" s="30">
        <v>74325</v>
      </c>
      <c r="K51" s="30">
        <v>142357.70000000001</v>
      </c>
      <c r="L51" s="32">
        <f t="shared" si="0"/>
        <v>365834.6</v>
      </c>
      <c r="M51" s="33">
        <v>152796.54999999999</v>
      </c>
      <c r="N51" s="30">
        <v>13503.9</v>
      </c>
      <c r="O51" s="32">
        <f t="shared" si="1"/>
        <v>199534.15</v>
      </c>
      <c r="P51" s="30">
        <v>8482.0999999999985</v>
      </c>
      <c r="Q51" s="30">
        <v>592674.85</v>
      </c>
      <c r="R51" s="32">
        <v>1019.5999999999999</v>
      </c>
      <c r="S51" s="30">
        <f t="shared" si="5"/>
        <v>602176.54999999993</v>
      </c>
      <c r="T51" s="34">
        <f t="shared" si="6"/>
        <v>801710.7</v>
      </c>
      <c r="U51" s="30">
        <f t="shared" si="7"/>
        <v>971186.5</v>
      </c>
    </row>
    <row r="52" spans="1:21" s="36" customFormat="1" ht="15.75">
      <c r="A52" s="42">
        <v>40847</v>
      </c>
      <c r="B52" s="30">
        <v>61605.000000000058</v>
      </c>
      <c r="C52" s="30">
        <v>91985.2</v>
      </c>
      <c r="D52" s="30"/>
      <c r="E52" s="30">
        <f t="shared" si="4"/>
        <v>153590.20000000007</v>
      </c>
      <c r="F52" s="30">
        <v>29858.9</v>
      </c>
      <c r="G52" s="30">
        <v>105384.4</v>
      </c>
      <c r="H52" s="30" t="s">
        <v>2</v>
      </c>
      <c r="I52" s="30">
        <v>13872.2</v>
      </c>
      <c r="J52" s="30">
        <v>94325</v>
      </c>
      <c r="K52" s="30">
        <v>142049.60000000001</v>
      </c>
      <c r="L52" s="32">
        <f t="shared" si="0"/>
        <v>385490.1</v>
      </c>
      <c r="M52" s="33">
        <v>161133.20000000001</v>
      </c>
      <c r="N52" s="30">
        <v>14274.7</v>
      </c>
      <c r="O52" s="32">
        <f t="shared" si="1"/>
        <v>210082.19999999995</v>
      </c>
      <c r="P52" s="30">
        <v>4975.6000000000013</v>
      </c>
      <c r="Q52" s="30">
        <v>612731.76666666649</v>
      </c>
      <c r="R52" s="32">
        <v>994.09999999999991</v>
      </c>
      <c r="S52" s="30">
        <f t="shared" si="5"/>
        <v>618701.46666666644</v>
      </c>
      <c r="T52" s="34">
        <f t="shared" si="6"/>
        <v>828783.6666666664</v>
      </c>
      <c r="U52" s="30">
        <f t="shared" si="7"/>
        <v>982373.86666666646</v>
      </c>
    </row>
    <row r="53" spans="1:21" s="36" customFormat="1" ht="15.75">
      <c r="A53" s="42">
        <v>40877</v>
      </c>
      <c r="B53" s="30">
        <v>59710.299999999988</v>
      </c>
      <c r="C53" s="30">
        <v>101477.99999999999</v>
      </c>
      <c r="D53" s="30"/>
      <c r="E53" s="30">
        <f t="shared" si="4"/>
        <v>161188.29999999999</v>
      </c>
      <c r="F53" s="30">
        <v>13631.5</v>
      </c>
      <c r="G53" s="30">
        <v>94884.4</v>
      </c>
      <c r="H53" s="30" t="s">
        <v>2</v>
      </c>
      <c r="I53" s="30">
        <v>14068.5</v>
      </c>
      <c r="J53" s="30">
        <v>94325</v>
      </c>
      <c r="K53" s="30">
        <v>142049.60000000001</v>
      </c>
      <c r="L53" s="32">
        <f t="shared" si="0"/>
        <v>358959</v>
      </c>
      <c r="M53" s="33">
        <v>164059.25</v>
      </c>
      <c r="N53" s="30">
        <v>14823.400000000001</v>
      </c>
      <c r="O53" s="32">
        <f t="shared" si="1"/>
        <v>180076.35</v>
      </c>
      <c r="P53" s="30">
        <v>6924.0000000000009</v>
      </c>
      <c r="Q53" s="30">
        <v>620487.28333333333</v>
      </c>
      <c r="R53" s="32">
        <v>1003.0999999999999</v>
      </c>
      <c r="S53" s="30">
        <f t="shared" si="5"/>
        <v>628414.3833333333</v>
      </c>
      <c r="T53" s="34">
        <f t="shared" si="6"/>
        <v>808490.73333333328</v>
      </c>
      <c r="U53" s="30">
        <f t="shared" si="7"/>
        <v>969679.03333333321</v>
      </c>
    </row>
    <row r="54" spans="1:21" s="36" customFormat="1" ht="15.75">
      <c r="A54" s="42">
        <v>40908</v>
      </c>
      <c r="B54" s="30">
        <v>82293.999999999942</v>
      </c>
      <c r="C54" s="30">
        <v>123231.6</v>
      </c>
      <c r="D54" s="30"/>
      <c r="E54" s="30">
        <f t="shared" si="4"/>
        <v>205525.59999999995</v>
      </c>
      <c r="F54" s="30">
        <v>86260.6</v>
      </c>
      <c r="G54" s="30">
        <v>84484.4</v>
      </c>
      <c r="H54" s="30" t="s">
        <v>2</v>
      </c>
      <c r="I54" s="30">
        <v>14746.9</v>
      </c>
      <c r="J54" s="30">
        <v>94325</v>
      </c>
      <c r="K54" s="30">
        <v>141433.29999999999</v>
      </c>
      <c r="L54" s="32">
        <f t="shared" si="0"/>
        <v>421250.2</v>
      </c>
      <c r="M54" s="33">
        <v>175708.5</v>
      </c>
      <c r="N54" s="30">
        <v>14154.1</v>
      </c>
      <c r="O54" s="32">
        <f t="shared" si="1"/>
        <v>231387.6</v>
      </c>
      <c r="P54" s="30">
        <v>4009.9000000000005</v>
      </c>
      <c r="Q54" s="30">
        <v>612267</v>
      </c>
      <c r="R54" s="32">
        <v>1021.9000000000001</v>
      </c>
      <c r="S54" s="30">
        <f t="shared" si="5"/>
        <v>617298.80000000005</v>
      </c>
      <c r="T54" s="34">
        <f t="shared" si="6"/>
        <v>848686.4</v>
      </c>
      <c r="U54" s="30">
        <f t="shared" si="7"/>
        <v>1054212</v>
      </c>
    </row>
    <row r="55" spans="1:21" s="36" customFormat="1" ht="15.75">
      <c r="A55" s="42">
        <v>40939</v>
      </c>
      <c r="B55" s="30">
        <v>112890.80000000016</v>
      </c>
      <c r="C55" s="30">
        <v>125509.49999999997</v>
      </c>
      <c r="D55" s="30"/>
      <c r="E55" s="30">
        <f t="shared" si="4"/>
        <v>238400.30000000013</v>
      </c>
      <c r="F55" s="30">
        <v>23225.200000000001</v>
      </c>
      <c r="G55" s="30">
        <v>85407.4</v>
      </c>
      <c r="H55" s="30" t="s">
        <v>2</v>
      </c>
      <c r="I55" s="30">
        <v>15311.9</v>
      </c>
      <c r="J55" s="30">
        <v>94325</v>
      </c>
      <c r="K55" s="30">
        <v>141125.20000000001</v>
      </c>
      <c r="L55" s="32">
        <f t="shared" si="0"/>
        <v>359394.7</v>
      </c>
      <c r="M55" s="33">
        <v>187619.55000000002</v>
      </c>
      <c r="N55" s="30">
        <v>16320.800000000001</v>
      </c>
      <c r="O55" s="32">
        <f t="shared" si="1"/>
        <v>155454.35</v>
      </c>
      <c r="P55" s="30">
        <v>5315.2</v>
      </c>
      <c r="Q55" s="30">
        <v>615659.6</v>
      </c>
      <c r="R55" s="32">
        <v>1011.8</v>
      </c>
      <c r="S55" s="30">
        <f t="shared" si="5"/>
        <v>621986.6</v>
      </c>
      <c r="T55" s="34">
        <f t="shared" si="6"/>
        <v>777440.95</v>
      </c>
      <c r="U55" s="30">
        <f t="shared" si="7"/>
        <v>1015841.2500000001</v>
      </c>
    </row>
    <row r="56" spans="1:21" s="36" customFormat="1" ht="15.75">
      <c r="A56" s="42">
        <v>40968</v>
      </c>
      <c r="B56" s="30">
        <v>98423.899999999965</v>
      </c>
      <c r="C56" s="30">
        <v>123068.90000000004</v>
      </c>
      <c r="D56" s="30"/>
      <c r="E56" s="30">
        <f t="shared" si="4"/>
        <v>221492.8</v>
      </c>
      <c r="F56" s="30">
        <v>19733.599999999999</v>
      </c>
      <c r="G56" s="30">
        <v>81551.099999999991</v>
      </c>
      <c r="H56" s="30" t="s">
        <v>2</v>
      </c>
      <c r="I56" s="30">
        <v>15168.9</v>
      </c>
      <c r="J56" s="30">
        <v>94325</v>
      </c>
      <c r="K56" s="30">
        <v>140817.1</v>
      </c>
      <c r="L56" s="32">
        <f t="shared" si="0"/>
        <v>351595.69999999995</v>
      </c>
      <c r="M56" s="33">
        <v>173429.90000000002</v>
      </c>
      <c r="N56" s="30">
        <v>17114.3</v>
      </c>
      <c r="O56" s="32">
        <f t="shared" si="1"/>
        <v>161051.49999999994</v>
      </c>
      <c r="P56" s="30">
        <v>10997.099999999999</v>
      </c>
      <c r="Q56" s="30">
        <v>616794.9</v>
      </c>
      <c r="R56" s="32">
        <v>953.59999999999991</v>
      </c>
      <c r="S56" s="30">
        <f t="shared" si="5"/>
        <v>628745.6</v>
      </c>
      <c r="T56" s="34">
        <f t="shared" si="6"/>
        <v>789797.09999999986</v>
      </c>
      <c r="U56" s="30">
        <f t="shared" si="7"/>
        <v>1011289.8999999999</v>
      </c>
    </row>
    <row r="57" spans="1:21" s="36" customFormat="1" ht="15.75">
      <c r="A57" s="42">
        <v>40999</v>
      </c>
      <c r="B57" s="30">
        <v>67729.100000000093</v>
      </c>
      <c r="C57" s="30">
        <v>118491.8</v>
      </c>
      <c r="D57" s="30"/>
      <c r="E57" s="30">
        <f t="shared" si="4"/>
        <v>186220.90000000008</v>
      </c>
      <c r="F57" s="30">
        <v>41361.199999999997</v>
      </c>
      <c r="G57" s="30">
        <v>72751.099999999991</v>
      </c>
      <c r="H57" s="30" t="s">
        <v>2</v>
      </c>
      <c r="I57" s="30">
        <v>16271.5</v>
      </c>
      <c r="J57" s="30">
        <v>94325</v>
      </c>
      <c r="K57" s="30">
        <v>140508.9</v>
      </c>
      <c r="L57" s="32">
        <f t="shared" si="0"/>
        <v>365217.69999999995</v>
      </c>
      <c r="M57" s="33">
        <v>189874.75</v>
      </c>
      <c r="N57" s="30">
        <v>16840.8</v>
      </c>
      <c r="O57" s="32">
        <f t="shared" si="1"/>
        <v>158502.14999999997</v>
      </c>
      <c r="P57" s="30">
        <v>11397</v>
      </c>
      <c r="Q57" s="30">
        <v>625626.10000000009</v>
      </c>
      <c r="R57" s="32">
        <v>943.4</v>
      </c>
      <c r="S57" s="30">
        <f t="shared" si="5"/>
        <v>637966.50000000012</v>
      </c>
      <c r="T57" s="34">
        <f t="shared" si="6"/>
        <v>796468.65000000014</v>
      </c>
      <c r="U57" s="30">
        <f t="shared" si="7"/>
        <v>982689.55000000028</v>
      </c>
    </row>
    <row r="58" spans="1:21" s="36" customFormat="1" ht="15.75">
      <c r="A58" s="42">
        <v>41029</v>
      </c>
      <c r="B58" s="30">
        <v>57855.800000000047</v>
      </c>
      <c r="C58" s="30">
        <v>106035.70000000001</v>
      </c>
      <c r="D58" s="30"/>
      <c r="E58" s="30">
        <f t="shared" si="4"/>
        <v>163891.50000000006</v>
      </c>
      <c r="F58" s="30">
        <v>51796.5</v>
      </c>
      <c r="G58" s="30">
        <v>68244.899999999994</v>
      </c>
      <c r="H58" s="30" t="s">
        <v>2</v>
      </c>
      <c r="I58" s="30">
        <v>17528.8</v>
      </c>
      <c r="J58" s="30">
        <v>94325</v>
      </c>
      <c r="K58" s="30">
        <v>140200.79999999999</v>
      </c>
      <c r="L58" s="32">
        <f t="shared" si="0"/>
        <v>372096</v>
      </c>
      <c r="M58" s="33">
        <v>167768.29999999999</v>
      </c>
      <c r="N58" s="30">
        <v>19564.399999999994</v>
      </c>
      <c r="O58" s="32">
        <f t="shared" si="1"/>
        <v>184763.30000000002</v>
      </c>
      <c r="P58" s="30">
        <v>13397.199999999999</v>
      </c>
      <c r="Q58" s="30">
        <v>630867.39999999991</v>
      </c>
      <c r="R58" s="32">
        <v>916.8</v>
      </c>
      <c r="S58" s="30">
        <f t="shared" si="5"/>
        <v>645181.39999999991</v>
      </c>
      <c r="T58" s="34">
        <f t="shared" si="6"/>
        <v>829944.7</v>
      </c>
      <c r="U58" s="30">
        <f t="shared" si="7"/>
        <v>993836.2</v>
      </c>
    </row>
    <row r="59" spans="1:21" s="36" customFormat="1" ht="15.75">
      <c r="A59" s="42">
        <v>41060</v>
      </c>
      <c r="B59" s="30">
        <v>60535.400000000081</v>
      </c>
      <c r="C59" s="30">
        <v>83366.000000000015</v>
      </c>
      <c r="D59" s="30"/>
      <c r="E59" s="30">
        <f t="shared" si="4"/>
        <v>143901.40000000008</v>
      </c>
      <c r="F59" s="30">
        <v>32561.9</v>
      </c>
      <c r="G59" s="30">
        <v>66801.100000000006</v>
      </c>
      <c r="H59" s="30" t="s">
        <v>2</v>
      </c>
      <c r="I59" s="30">
        <v>15899.2</v>
      </c>
      <c r="J59" s="30">
        <v>94325</v>
      </c>
      <c r="K59" s="30">
        <v>140200.79999999999</v>
      </c>
      <c r="L59" s="32">
        <f t="shared" si="0"/>
        <v>349788</v>
      </c>
      <c r="M59" s="33">
        <v>152755.05000000002</v>
      </c>
      <c r="N59" s="30">
        <v>13236.300000000001</v>
      </c>
      <c r="O59" s="32">
        <f t="shared" si="1"/>
        <v>183796.65</v>
      </c>
      <c r="P59" s="30">
        <v>14556.999999999998</v>
      </c>
      <c r="Q59" s="30">
        <v>659531.89999999991</v>
      </c>
      <c r="R59" s="32">
        <v>992.09999999999991</v>
      </c>
      <c r="S59" s="30">
        <f t="shared" si="5"/>
        <v>675080.99999999988</v>
      </c>
      <c r="T59" s="34">
        <f t="shared" si="6"/>
        <v>858877.64999999991</v>
      </c>
      <c r="U59" s="30">
        <f t="shared" si="7"/>
        <v>1002779.05</v>
      </c>
    </row>
    <row r="60" spans="1:21" s="36" customFormat="1" ht="15.75">
      <c r="A60" s="42">
        <v>41090</v>
      </c>
      <c r="B60" s="30">
        <v>49308</v>
      </c>
      <c r="C60" s="30">
        <v>78556.900000000023</v>
      </c>
      <c r="D60" s="30"/>
      <c r="E60" s="30">
        <f t="shared" si="4"/>
        <v>127864.90000000002</v>
      </c>
      <c r="F60" s="30">
        <v>49375</v>
      </c>
      <c r="G60" s="30">
        <v>63101.1</v>
      </c>
      <c r="H60" s="30" t="s">
        <v>2</v>
      </c>
      <c r="I60" s="30">
        <v>18502.399999999998</v>
      </c>
      <c r="J60" s="30">
        <v>94325</v>
      </c>
      <c r="K60" s="30">
        <v>139584.5</v>
      </c>
      <c r="L60" s="32">
        <f t="shared" si="0"/>
        <v>364888</v>
      </c>
      <c r="M60" s="33">
        <v>146789.10000000003</v>
      </c>
      <c r="N60" s="30">
        <v>13565.2</v>
      </c>
      <c r="O60" s="32">
        <f t="shared" si="1"/>
        <v>204533.69999999995</v>
      </c>
      <c r="P60" s="30">
        <v>16232.4</v>
      </c>
      <c r="Q60" s="30">
        <v>681196.70000000007</v>
      </c>
      <c r="R60" s="32">
        <v>1005.8</v>
      </c>
      <c r="S60" s="30">
        <f t="shared" si="5"/>
        <v>698434.90000000014</v>
      </c>
      <c r="T60" s="34">
        <f t="shared" si="6"/>
        <v>902968.60000000009</v>
      </c>
      <c r="U60" s="30">
        <f t="shared" si="7"/>
        <v>1030833.5000000001</v>
      </c>
    </row>
    <row r="61" spans="1:21" s="36" customFormat="1" ht="15.75">
      <c r="A61" s="42">
        <v>41121</v>
      </c>
      <c r="B61" s="30">
        <v>46872.800000000047</v>
      </c>
      <c r="C61" s="30">
        <v>98136.900000000023</v>
      </c>
      <c r="D61" s="30"/>
      <c r="E61" s="30">
        <f t="shared" si="4"/>
        <v>145009.70000000007</v>
      </c>
      <c r="F61" s="30">
        <v>53695.7</v>
      </c>
      <c r="G61" s="30">
        <v>52484.4</v>
      </c>
      <c r="H61" s="30" t="s">
        <v>2</v>
      </c>
      <c r="I61" s="30">
        <v>16648.2</v>
      </c>
      <c r="J61" s="30">
        <v>108925</v>
      </c>
      <c r="K61" s="30">
        <v>139276.4</v>
      </c>
      <c r="L61" s="32">
        <f t="shared" si="0"/>
        <v>371029.69999999995</v>
      </c>
      <c r="M61" s="33">
        <v>143746.51666666666</v>
      </c>
      <c r="N61" s="30">
        <v>16513.699999999997</v>
      </c>
      <c r="O61" s="32">
        <f t="shared" si="1"/>
        <v>210769.48333333328</v>
      </c>
      <c r="P61" s="30">
        <v>17742.2</v>
      </c>
      <c r="Q61" s="30">
        <v>682743.1166666667</v>
      </c>
      <c r="R61" s="32">
        <v>993.4</v>
      </c>
      <c r="S61" s="30">
        <f t="shared" si="5"/>
        <v>701478.71666666667</v>
      </c>
      <c r="T61" s="34">
        <f t="shared" si="6"/>
        <v>912248.2</v>
      </c>
      <c r="U61" s="30">
        <f t="shared" si="7"/>
        <v>1057257.8999999999</v>
      </c>
    </row>
    <row r="62" spans="1:21" s="36" customFormat="1" ht="15.75">
      <c r="A62" s="42">
        <v>41152</v>
      </c>
      <c r="B62" s="30">
        <v>39580.200000000012</v>
      </c>
      <c r="C62" s="30">
        <v>102097.4</v>
      </c>
      <c r="D62" s="30"/>
      <c r="E62" s="30">
        <f t="shared" si="4"/>
        <v>141677.6</v>
      </c>
      <c r="F62" s="30">
        <v>65092</v>
      </c>
      <c r="G62" s="30">
        <v>44735.199999999997</v>
      </c>
      <c r="H62" s="30" t="s">
        <v>2</v>
      </c>
      <c r="I62" s="30">
        <v>14110.066666666666</v>
      </c>
      <c r="J62" s="30">
        <v>108925</v>
      </c>
      <c r="K62" s="30">
        <v>138968.29999999999</v>
      </c>
      <c r="L62" s="32">
        <f t="shared" si="0"/>
        <v>371830.56666666665</v>
      </c>
      <c r="M62" s="33">
        <v>131362.43333333335</v>
      </c>
      <c r="N62" s="30">
        <v>18916.900000000001</v>
      </c>
      <c r="O62" s="32">
        <f t="shared" si="1"/>
        <v>221551.23333333331</v>
      </c>
      <c r="P62" s="30">
        <v>26322.699999999997</v>
      </c>
      <c r="Q62" s="30">
        <v>691338.43333333335</v>
      </c>
      <c r="R62" s="32">
        <v>1013</v>
      </c>
      <c r="S62" s="30">
        <f t="shared" si="5"/>
        <v>718674.1333333333</v>
      </c>
      <c r="T62" s="34">
        <f t="shared" si="6"/>
        <v>940225.36666666658</v>
      </c>
      <c r="U62" s="30">
        <f t="shared" si="7"/>
        <v>1081902.9666666666</v>
      </c>
    </row>
    <row r="63" spans="1:21" s="36" customFormat="1" ht="15.75">
      <c r="A63" s="42">
        <v>41182</v>
      </c>
      <c r="B63" s="30">
        <v>55414.5</v>
      </c>
      <c r="C63" s="30">
        <v>105595.80000000003</v>
      </c>
      <c r="D63" s="30"/>
      <c r="E63" s="30">
        <f t="shared" si="4"/>
        <v>161010.30000000005</v>
      </c>
      <c r="F63" s="30">
        <v>51763.199999999997</v>
      </c>
      <c r="G63" s="30">
        <v>38166.800000000003</v>
      </c>
      <c r="H63" s="30" t="s">
        <v>2</v>
      </c>
      <c r="I63" s="30">
        <v>13870.5</v>
      </c>
      <c r="J63" s="30">
        <v>108925</v>
      </c>
      <c r="K63" s="30">
        <v>138968.29999999999</v>
      </c>
      <c r="L63" s="32">
        <f t="shared" si="0"/>
        <v>351693.8</v>
      </c>
      <c r="M63" s="33">
        <v>133972.04999999999</v>
      </c>
      <c r="N63" s="30">
        <v>15255.2</v>
      </c>
      <c r="O63" s="32">
        <f t="shared" si="1"/>
        <v>202466.55</v>
      </c>
      <c r="P63" s="30">
        <v>24945.899999999998</v>
      </c>
      <c r="Q63" s="30">
        <v>685471.85000000009</v>
      </c>
      <c r="R63" s="32">
        <v>1059.5</v>
      </c>
      <c r="S63" s="30">
        <f t="shared" si="5"/>
        <v>711477.25000000012</v>
      </c>
      <c r="T63" s="34">
        <f t="shared" si="6"/>
        <v>913943.8</v>
      </c>
      <c r="U63" s="30">
        <f t="shared" si="7"/>
        <v>1074954.1000000001</v>
      </c>
    </row>
    <row r="64" spans="1:21" s="36" customFormat="1" ht="15.75">
      <c r="A64" s="42">
        <v>41213</v>
      </c>
      <c r="B64" s="30">
        <v>50733.300000000105</v>
      </c>
      <c r="C64" s="30">
        <v>99522.699999999968</v>
      </c>
      <c r="D64" s="30"/>
      <c r="E64" s="30">
        <f t="shared" si="4"/>
        <v>150256.00000000006</v>
      </c>
      <c r="F64" s="30">
        <v>78836.5</v>
      </c>
      <c r="G64" s="30">
        <v>34235.199999999997</v>
      </c>
      <c r="H64" s="30" t="s">
        <v>2</v>
      </c>
      <c r="I64" s="30">
        <v>14080.2</v>
      </c>
      <c r="J64" s="30">
        <v>108925</v>
      </c>
      <c r="K64" s="30">
        <v>138352</v>
      </c>
      <c r="L64" s="32">
        <f t="shared" si="0"/>
        <v>374428.9</v>
      </c>
      <c r="M64" s="33">
        <v>152751.86666666667</v>
      </c>
      <c r="N64" s="30">
        <v>14718.9</v>
      </c>
      <c r="O64" s="32">
        <f t="shared" si="1"/>
        <v>206958.13333333336</v>
      </c>
      <c r="P64" s="30">
        <v>23160.3</v>
      </c>
      <c r="Q64" s="30">
        <v>697084.96666666656</v>
      </c>
      <c r="R64" s="32">
        <v>1087.2</v>
      </c>
      <c r="S64" s="30">
        <f t="shared" si="5"/>
        <v>721332.46666666656</v>
      </c>
      <c r="T64" s="34">
        <f t="shared" si="6"/>
        <v>928290.59999999986</v>
      </c>
      <c r="U64" s="30">
        <f t="shared" si="7"/>
        <v>1078546.5999999999</v>
      </c>
    </row>
    <row r="65" spans="1:21" s="36" customFormat="1" ht="15.75">
      <c r="A65" s="42">
        <v>41243</v>
      </c>
      <c r="B65" s="30">
        <v>50395</v>
      </c>
      <c r="C65" s="30">
        <v>107039.20000000001</v>
      </c>
      <c r="D65" s="30"/>
      <c r="E65" s="30">
        <f t="shared" si="4"/>
        <v>157434.20000000001</v>
      </c>
      <c r="F65" s="30">
        <v>104206.5</v>
      </c>
      <c r="G65" s="30">
        <v>35864.9</v>
      </c>
      <c r="H65" s="30"/>
      <c r="I65" s="30">
        <v>16169.2</v>
      </c>
      <c r="J65" s="30">
        <v>108925</v>
      </c>
      <c r="K65" s="30">
        <v>138043.9</v>
      </c>
      <c r="L65" s="32">
        <f t="shared" si="0"/>
        <v>403209.5</v>
      </c>
      <c r="M65" s="33">
        <v>154275.78333333335</v>
      </c>
      <c r="N65" s="30">
        <v>17782.100000000002</v>
      </c>
      <c r="O65" s="32">
        <f t="shared" si="1"/>
        <v>231151.61666666664</v>
      </c>
      <c r="P65" s="30">
        <v>23395.500000000004</v>
      </c>
      <c r="Q65" s="30">
        <v>699905.4833333334</v>
      </c>
      <c r="R65" s="32">
        <v>1050.5999999999999</v>
      </c>
      <c r="S65" s="30">
        <f t="shared" si="5"/>
        <v>724351.58333333337</v>
      </c>
      <c r="T65" s="34">
        <f t="shared" si="6"/>
        <v>955503.2</v>
      </c>
      <c r="U65" s="30">
        <f t="shared" si="7"/>
        <v>1112937.3999999999</v>
      </c>
    </row>
    <row r="66" spans="1:21" s="36" customFormat="1" ht="15.75">
      <c r="A66" s="42">
        <v>41274</v>
      </c>
      <c r="B66" s="30">
        <v>66928.900000000023</v>
      </c>
      <c r="C66" s="30">
        <v>129708.8</v>
      </c>
      <c r="D66" s="30"/>
      <c r="E66" s="30">
        <f t="shared" si="4"/>
        <v>196637.7</v>
      </c>
      <c r="F66" s="30">
        <v>155251.9</v>
      </c>
      <c r="G66" s="30">
        <v>49024.3</v>
      </c>
      <c r="H66" s="30"/>
      <c r="I66" s="30">
        <v>17982.599999999999</v>
      </c>
      <c r="J66" s="30">
        <v>117037.4</v>
      </c>
      <c r="K66" s="30">
        <v>137735.70000000001</v>
      </c>
      <c r="L66" s="32">
        <f t="shared" si="0"/>
        <v>477031.9</v>
      </c>
      <c r="M66" s="33">
        <v>182803.7</v>
      </c>
      <c r="N66" s="30">
        <v>18296</v>
      </c>
      <c r="O66" s="32">
        <f t="shared" si="1"/>
        <v>275932.2</v>
      </c>
      <c r="P66" s="30">
        <v>24157.200000000001</v>
      </c>
      <c r="Q66" s="30">
        <v>683891.70000000007</v>
      </c>
      <c r="R66" s="32">
        <v>1057.9000000000001</v>
      </c>
      <c r="S66" s="30">
        <f t="shared" si="5"/>
        <v>709106.8</v>
      </c>
      <c r="T66" s="34">
        <f t="shared" si="6"/>
        <v>985039</v>
      </c>
      <c r="U66" s="30">
        <f t="shared" si="7"/>
        <v>1181676.7</v>
      </c>
    </row>
    <row r="67" spans="1:21" s="36" customFormat="1" ht="15.75">
      <c r="A67" s="42">
        <v>41305</v>
      </c>
      <c r="B67" s="30">
        <v>55782.700000000012</v>
      </c>
      <c r="C67" s="30">
        <v>140475.40000000002</v>
      </c>
      <c r="D67" s="30">
        <v>-8.1</v>
      </c>
      <c r="E67" s="30">
        <f t="shared" si="4"/>
        <v>196250.00000000003</v>
      </c>
      <c r="F67" s="31" t="s">
        <v>2</v>
      </c>
      <c r="G67" s="30">
        <v>53502.600000000006</v>
      </c>
      <c r="H67" s="30"/>
      <c r="I67" s="30">
        <v>14555.217000000001</v>
      </c>
      <c r="J67" s="30">
        <v>115644.1</v>
      </c>
      <c r="K67" s="30">
        <v>292679.5</v>
      </c>
      <c r="L67" s="32">
        <f t="shared" si="0"/>
        <v>476381.41700000002</v>
      </c>
      <c r="M67" s="33">
        <v>220799.68333333335</v>
      </c>
      <c r="N67" s="30">
        <v>21555.599999999999</v>
      </c>
      <c r="O67" s="32">
        <f t="shared" si="1"/>
        <v>234026.13366666666</v>
      </c>
      <c r="P67" s="30">
        <v>24524.300000000003</v>
      </c>
      <c r="Q67" s="30">
        <v>708419.21666666667</v>
      </c>
      <c r="R67" s="32">
        <v>1099.5999999999999</v>
      </c>
      <c r="S67" s="30">
        <f t="shared" si="5"/>
        <v>734043.1166666667</v>
      </c>
      <c r="T67" s="34">
        <f t="shared" si="6"/>
        <v>968069.25033333339</v>
      </c>
      <c r="U67" s="30">
        <f t="shared" si="7"/>
        <v>1164319.2503333334</v>
      </c>
    </row>
    <row r="68" spans="1:21" s="36" customFormat="1" ht="15.75">
      <c r="A68" s="42">
        <v>41333</v>
      </c>
      <c r="B68" s="30">
        <v>97419.499999999884</v>
      </c>
      <c r="C68" s="30">
        <v>158351.6</v>
      </c>
      <c r="D68" s="30">
        <v>-16.2</v>
      </c>
      <c r="E68" s="30">
        <f t="shared" si="4"/>
        <v>255754.89999999988</v>
      </c>
      <c r="F68" s="31" t="s">
        <v>2</v>
      </c>
      <c r="G68" s="30">
        <v>50864</v>
      </c>
      <c r="H68" s="30"/>
      <c r="I68" s="30">
        <v>16132</v>
      </c>
      <c r="J68" s="30">
        <v>114250.8</v>
      </c>
      <c r="K68" s="30">
        <v>292371.40000000002</v>
      </c>
      <c r="L68" s="32">
        <f t="shared" si="0"/>
        <v>473618.2</v>
      </c>
      <c r="M68" s="33">
        <v>241982.86666666667</v>
      </c>
      <c r="N68" s="30">
        <v>22934.400000000001</v>
      </c>
      <c r="O68" s="32">
        <f t="shared" si="1"/>
        <v>208700.93333333335</v>
      </c>
      <c r="P68" s="30">
        <v>25342.800000000003</v>
      </c>
      <c r="Q68" s="30">
        <v>712390.53333333344</v>
      </c>
      <c r="R68" s="32">
        <v>1413.7</v>
      </c>
      <c r="S68" s="30">
        <f t="shared" si="5"/>
        <v>739147.03333333344</v>
      </c>
      <c r="T68" s="34">
        <f t="shared" si="6"/>
        <v>947847.96666666679</v>
      </c>
      <c r="U68" s="30">
        <f t="shared" si="7"/>
        <v>1203602.8666666667</v>
      </c>
    </row>
    <row r="69" spans="1:21" s="36" customFormat="1" ht="15.75">
      <c r="A69" s="42">
        <v>41364</v>
      </c>
      <c r="B69" s="30">
        <v>48746.900000000081</v>
      </c>
      <c r="C69" s="30">
        <v>149107.00000000003</v>
      </c>
      <c r="D69" s="30">
        <v>-24.299999999999997</v>
      </c>
      <c r="E69" s="30">
        <f t="shared" si="4"/>
        <v>197829.60000000012</v>
      </c>
      <c r="F69" s="31" t="s">
        <v>2</v>
      </c>
      <c r="G69" s="30">
        <v>47334.399999999994</v>
      </c>
      <c r="H69" s="30"/>
      <c r="I69" s="30">
        <v>18914.7</v>
      </c>
      <c r="J69" s="30">
        <v>112857.5</v>
      </c>
      <c r="K69" s="30">
        <v>292063.09999999998</v>
      </c>
      <c r="L69" s="32">
        <f t="shared" si="0"/>
        <v>471169.69999999995</v>
      </c>
      <c r="M69" s="33">
        <v>207006.84999999998</v>
      </c>
      <c r="N69" s="30">
        <v>23122.7</v>
      </c>
      <c r="O69" s="32">
        <f t="shared" si="1"/>
        <v>241040.14999999997</v>
      </c>
      <c r="P69" s="30">
        <v>27027.699999999997</v>
      </c>
      <c r="Q69" s="30">
        <v>720855.35</v>
      </c>
      <c r="R69" s="32">
        <v>1398.1999999999998</v>
      </c>
      <c r="S69" s="30">
        <f t="shared" si="5"/>
        <v>749281.24999999988</v>
      </c>
      <c r="T69" s="34">
        <f t="shared" si="6"/>
        <v>990321.39999999991</v>
      </c>
      <c r="U69" s="30">
        <f t="shared" si="7"/>
        <v>1188151</v>
      </c>
    </row>
    <row r="70" spans="1:21" s="36" customFormat="1" ht="15.75">
      <c r="A70" s="42">
        <v>41394</v>
      </c>
      <c r="B70" s="30">
        <v>44693.599999999977</v>
      </c>
      <c r="C70" s="30">
        <v>151956.90000000002</v>
      </c>
      <c r="D70" s="30">
        <v>-32.4</v>
      </c>
      <c r="E70" s="30">
        <f t="shared" si="4"/>
        <v>196618.1</v>
      </c>
      <c r="F70" s="31">
        <v>11186</v>
      </c>
      <c r="G70" s="30">
        <v>42558.399999999994</v>
      </c>
      <c r="H70" s="30"/>
      <c r="I70" s="30">
        <v>20646.400000000001</v>
      </c>
      <c r="J70" s="30">
        <v>111464.2</v>
      </c>
      <c r="K70" s="30">
        <v>291755.09999999998</v>
      </c>
      <c r="L70" s="32">
        <f t="shared" si="0"/>
        <v>477610.1</v>
      </c>
      <c r="M70" s="33">
        <v>182261.53333333333</v>
      </c>
      <c r="N70" s="30">
        <v>21146.5</v>
      </c>
      <c r="O70" s="32">
        <f t="shared" si="1"/>
        <v>274202.06666666665</v>
      </c>
      <c r="P70" s="30">
        <v>27609.899999999998</v>
      </c>
      <c r="Q70" s="30">
        <v>718491.16666666663</v>
      </c>
      <c r="R70" s="32">
        <v>1390.8</v>
      </c>
      <c r="S70" s="30">
        <f t="shared" si="5"/>
        <v>747491.8666666667</v>
      </c>
      <c r="T70" s="34">
        <f t="shared" si="6"/>
        <v>1021693.9333333333</v>
      </c>
      <c r="U70" s="30">
        <f t="shared" si="7"/>
        <v>1218312.0333333334</v>
      </c>
    </row>
    <row r="71" spans="1:21" s="36" customFormat="1" ht="15.75">
      <c r="A71" s="42">
        <v>41425</v>
      </c>
      <c r="B71" s="30">
        <v>64212.600000000035</v>
      </c>
      <c r="C71" s="30">
        <v>122148.50000000001</v>
      </c>
      <c r="D71" s="30">
        <v>-40.5</v>
      </c>
      <c r="E71" s="30">
        <f t="shared" si="4"/>
        <v>186320.60000000003</v>
      </c>
      <c r="F71" s="31" t="s">
        <v>2</v>
      </c>
      <c r="G71" s="30">
        <v>68342</v>
      </c>
      <c r="H71" s="30"/>
      <c r="I71" s="30">
        <v>16971.283299999999</v>
      </c>
      <c r="J71" s="30">
        <v>110070.9</v>
      </c>
      <c r="K71" s="30">
        <v>291446.90000000002</v>
      </c>
      <c r="L71" s="32">
        <f t="shared" ref="L71:L134" si="8">SUM(F71:K71)</f>
        <v>486831.0833</v>
      </c>
      <c r="M71" s="33">
        <v>199125.4167</v>
      </c>
      <c r="N71" s="30">
        <v>19112.000000000004</v>
      </c>
      <c r="O71" s="32">
        <f t="shared" ref="O71:O134" si="9">L71-M71-N71</f>
        <v>268593.6666</v>
      </c>
      <c r="P71" s="30">
        <v>28974.7</v>
      </c>
      <c r="Q71" s="30">
        <v>723068.18333333335</v>
      </c>
      <c r="R71" s="32">
        <v>1390.6999999999998</v>
      </c>
      <c r="S71" s="30">
        <f t="shared" si="5"/>
        <v>753433.58333333326</v>
      </c>
      <c r="T71" s="34">
        <f t="shared" si="6"/>
        <v>1022027.2499333333</v>
      </c>
      <c r="U71" s="30">
        <f t="shared" ref="U71:U102" si="10">T71+E71</f>
        <v>1208347.8499333332</v>
      </c>
    </row>
    <row r="72" spans="1:21" s="36" customFormat="1" ht="15.75">
      <c r="A72" s="42">
        <v>41455</v>
      </c>
      <c r="B72" s="30">
        <v>56965.400000000081</v>
      </c>
      <c r="C72" s="30">
        <v>101928.40000000002</v>
      </c>
      <c r="D72" s="30">
        <v>-48.599999999999994</v>
      </c>
      <c r="E72" s="30">
        <f t="shared" ref="E72:E135" si="11">SUM(B72:D72)</f>
        <v>158845.2000000001</v>
      </c>
      <c r="F72" s="31" t="s">
        <v>2</v>
      </c>
      <c r="G72" s="30">
        <v>70934.600000000006</v>
      </c>
      <c r="H72" s="30"/>
      <c r="I72" s="30">
        <v>18757.3</v>
      </c>
      <c r="J72" s="30">
        <v>108677.6</v>
      </c>
      <c r="K72" s="30">
        <v>291138.8</v>
      </c>
      <c r="L72" s="32">
        <f t="shared" si="8"/>
        <v>489508.3</v>
      </c>
      <c r="M72" s="33">
        <v>190482.9</v>
      </c>
      <c r="N72" s="30">
        <v>15910.9</v>
      </c>
      <c r="O72" s="32">
        <f t="shared" si="9"/>
        <v>283114.5</v>
      </c>
      <c r="P72" s="30">
        <v>30429.199999999997</v>
      </c>
      <c r="Q72" s="30">
        <v>726941.90000000014</v>
      </c>
      <c r="R72" s="32">
        <v>1401.7</v>
      </c>
      <c r="S72" s="30">
        <f t="shared" ref="S72:S80" si="12">SUM(P72:R72)</f>
        <v>758772.8</v>
      </c>
      <c r="T72" s="34">
        <f t="shared" si="6"/>
        <v>1041887.3</v>
      </c>
      <c r="U72" s="30">
        <f t="shared" si="10"/>
        <v>1200732.5000000002</v>
      </c>
    </row>
    <row r="73" spans="1:21" s="36" customFormat="1" ht="15.75">
      <c r="A73" s="42">
        <v>41486</v>
      </c>
      <c r="B73" s="30">
        <v>88260.70000000007</v>
      </c>
      <c r="C73" s="30">
        <v>97529.599999999977</v>
      </c>
      <c r="D73" s="30">
        <v>-56.699999999999996</v>
      </c>
      <c r="E73" s="30">
        <f t="shared" si="11"/>
        <v>185733.60000000003</v>
      </c>
      <c r="F73" s="31" t="s">
        <v>2</v>
      </c>
      <c r="G73" s="30">
        <v>100965.3</v>
      </c>
      <c r="H73" s="30"/>
      <c r="I73" s="30">
        <v>17433.3</v>
      </c>
      <c r="J73" s="30">
        <v>107284.3</v>
      </c>
      <c r="K73" s="30">
        <v>290830.7</v>
      </c>
      <c r="L73" s="32">
        <f t="shared" si="8"/>
        <v>516513.60000000003</v>
      </c>
      <c r="M73" s="33">
        <v>245464.6</v>
      </c>
      <c r="N73" s="30">
        <v>18379.300000000003</v>
      </c>
      <c r="O73" s="32">
        <f t="shared" si="9"/>
        <v>252669.7</v>
      </c>
      <c r="P73" s="30">
        <v>29921.149999999994</v>
      </c>
      <c r="Q73" s="30">
        <v>748005.86666666658</v>
      </c>
      <c r="R73" s="32">
        <v>1754.2</v>
      </c>
      <c r="S73" s="30">
        <f t="shared" si="12"/>
        <v>779681.21666666656</v>
      </c>
      <c r="T73" s="34">
        <f t="shared" si="6"/>
        <v>1032350.9166666665</v>
      </c>
      <c r="U73" s="30">
        <f t="shared" si="10"/>
        <v>1218084.5166666666</v>
      </c>
    </row>
    <row r="74" spans="1:21" s="36" customFormat="1" ht="15.75">
      <c r="A74" s="42">
        <v>41517</v>
      </c>
      <c r="B74" s="30">
        <v>79468.299999999988</v>
      </c>
      <c r="C74" s="30">
        <v>88537.200000000012</v>
      </c>
      <c r="D74" s="30">
        <v>-64.8</v>
      </c>
      <c r="E74" s="30">
        <f t="shared" si="11"/>
        <v>167940.7</v>
      </c>
      <c r="F74" s="31" t="s">
        <v>2</v>
      </c>
      <c r="G74" s="30">
        <v>96477.700000000012</v>
      </c>
      <c r="H74" s="30"/>
      <c r="I74" s="30">
        <v>24620.9</v>
      </c>
      <c r="J74" s="30">
        <v>107284.3</v>
      </c>
      <c r="K74" s="30">
        <v>290830.7</v>
      </c>
      <c r="L74" s="32">
        <f t="shared" si="8"/>
        <v>519213.60000000003</v>
      </c>
      <c r="M74" s="33">
        <v>197386.4</v>
      </c>
      <c r="N74" s="30">
        <v>19610.8</v>
      </c>
      <c r="O74" s="32">
        <f t="shared" si="9"/>
        <v>302216.40000000008</v>
      </c>
      <c r="P74" s="30">
        <v>31534.7</v>
      </c>
      <c r="Q74" s="30">
        <v>750770.33333333337</v>
      </c>
      <c r="R74" s="32">
        <v>1758.2</v>
      </c>
      <c r="S74" s="30">
        <f t="shared" si="12"/>
        <v>784063.23333333328</v>
      </c>
      <c r="T74" s="34">
        <f t="shared" si="6"/>
        <v>1086279.6333333333</v>
      </c>
      <c r="U74" s="30">
        <f t="shared" si="10"/>
        <v>1254220.3333333333</v>
      </c>
    </row>
    <row r="75" spans="1:21" s="36" customFormat="1" ht="15.75">
      <c r="A75" s="42">
        <v>41547</v>
      </c>
      <c r="B75" s="30">
        <v>78410.799999999988</v>
      </c>
      <c r="C75" s="30">
        <v>86375.500000000015</v>
      </c>
      <c r="D75" s="30">
        <v>-72.899999999999991</v>
      </c>
      <c r="E75" s="30">
        <f t="shared" si="11"/>
        <v>164713.4</v>
      </c>
      <c r="F75" s="31" t="s">
        <v>2</v>
      </c>
      <c r="G75" s="30">
        <v>104499.4</v>
      </c>
      <c r="H75" s="30"/>
      <c r="I75" s="30">
        <v>22464.7</v>
      </c>
      <c r="J75" s="30">
        <v>107284.3</v>
      </c>
      <c r="K75" s="30">
        <v>290214.40000000002</v>
      </c>
      <c r="L75" s="32">
        <f t="shared" si="8"/>
        <v>524462.80000000005</v>
      </c>
      <c r="M75" s="33">
        <v>213218.7</v>
      </c>
      <c r="N75" s="30">
        <v>21460.2</v>
      </c>
      <c r="O75" s="32">
        <f t="shared" si="9"/>
        <v>289783.90000000002</v>
      </c>
      <c r="P75" s="30">
        <v>36136.950000000004</v>
      </c>
      <c r="Q75" s="30">
        <v>759532.1</v>
      </c>
      <c r="R75" s="32">
        <v>2197.5</v>
      </c>
      <c r="S75" s="30">
        <f t="shared" si="12"/>
        <v>797866.54999999993</v>
      </c>
      <c r="T75" s="34">
        <f t="shared" si="6"/>
        <v>1087650.45</v>
      </c>
      <c r="U75" s="30">
        <f t="shared" si="10"/>
        <v>1252363.8499999999</v>
      </c>
    </row>
    <row r="76" spans="1:21" s="36" customFormat="1" ht="15.75">
      <c r="A76" s="42">
        <v>41578</v>
      </c>
      <c r="B76" s="30">
        <v>98627.299999999988</v>
      </c>
      <c r="C76" s="30">
        <v>90134.000000000058</v>
      </c>
      <c r="D76" s="30">
        <v>-81</v>
      </c>
      <c r="E76" s="30">
        <f t="shared" si="11"/>
        <v>188680.30000000005</v>
      </c>
      <c r="F76" s="31">
        <v>6525.5</v>
      </c>
      <c r="G76" s="30">
        <v>108413.2</v>
      </c>
      <c r="H76" s="30"/>
      <c r="I76" s="30">
        <v>17531.800000000003</v>
      </c>
      <c r="J76" s="30">
        <v>107284.3</v>
      </c>
      <c r="K76" s="30">
        <v>289906.3</v>
      </c>
      <c r="L76" s="32">
        <f t="shared" si="8"/>
        <v>529661.1</v>
      </c>
      <c r="M76" s="33">
        <v>215330.6</v>
      </c>
      <c r="N76" s="30">
        <v>21130.1</v>
      </c>
      <c r="O76" s="32">
        <f t="shared" si="9"/>
        <v>293200.40000000002</v>
      </c>
      <c r="P76" s="30">
        <v>35876.800000000003</v>
      </c>
      <c r="Q76" s="30">
        <v>753419.66666666674</v>
      </c>
      <c r="R76" s="32">
        <v>2357.1999999999998</v>
      </c>
      <c r="S76" s="30">
        <f t="shared" si="12"/>
        <v>791653.66666666674</v>
      </c>
      <c r="T76" s="34">
        <f t="shared" si="6"/>
        <v>1084854.0666666669</v>
      </c>
      <c r="U76" s="30">
        <f t="shared" si="10"/>
        <v>1273534.3666666669</v>
      </c>
    </row>
    <row r="77" spans="1:21" s="36" customFormat="1" ht="15.75">
      <c r="A77" s="42">
        <v>41608</v>
      </c>
      <c r="B77" s="30">
        <v>81256.100000000093</v>
      </c>
      <c r="C77" s="30">
        <v>95735.2</v>
      </c>
      <c r="D77" s="30">
        <v>-89.1</v>
      </c>
      <c r="E77" s="30">
        <f t="shared" si="11"/>
        <v>176902.2000000001</v>
      </c>
      <c r="F77" s="31">
        <v>20947.400000000001</v>
      </c>
      <c r="G77" s="30">
        <v>107312.8</v>
      </c>
      <c r="H77" s="30"/>
      <c r="I77" s="30">
        <v>22148</v>
      </c>
      <c r="J77" s="30">
        <v>107284.3</v>
      </c>
      <c r="K77" s="30">
        <v>289906.3</v>
      </c>
      <c r="L77" s="32">
        <f t="shared" si="8"/>
        <v>547598.80000000005</v>
      </c>
      <c r="M77" s="33">
        <v>218783.4</v>
      </c>
      <c r="N77" s="30">
        <v>24576.5</v>
      </c>
      <c r="O77" s="32">
        <f t="shared" si="9"/>
        <v>304238.90000000002</v>
      </c>
      <c r="P77" s="30">
        <v>35971.050000000003</v>
      </c>
      <c r="Q77" s="30">
        <v>749695.63333333342</v>
      </c>
      <c r="R77" s="32">
        <v>2366.6</v>
      </c>
      <c r="S77" s="30">
        <f t="shared" si="12"/>
        <v>788033.28333333344</v>
      </c>
      <c r="T77" s="34">
        <f t="shared" si="6"/>
        <v>1092272.1833333336</v>
      </c>
      <c r="U77" s="30">
        <f t="shared" si="10"/>
        <v>1269174.3833333338</v>
      </c>
    </row>
    <row r="78" spans="1:21" s="36" customFormat="1" ht="15.75">
      <c r="A78" s="42">
        <v>41639</v>
      </c>
      <c r="B78" s="30">
        <v>118133.79999999993</v>
      </c>
      <c r="C78" s="30">
        <v>111622.29999999997</v>
      </c>
      <c r="D78" s="30">
        <v>-97.2</v>
      </c>
      <c r="E78" s="30">
        <f t="shared" si="11"/>
        <v>229658.89999999991</v>
      </c>
      <c r="F78" s="31" t="s">
        <v>2</v>
      </c>
      <c r="G78" s="30">
        <v>109019.90000000001</v>
      </c>
      <c r="H78" s="30"/>
      <c r="I78" s="30">
        <v>18506.300000000003</v>
      </c>
      <c r="J78" s="30">
        <v>107284.3</v>
      </c>
      <c r="K78" s="30">
        <v>289290</v>
      </c>
      <c r="L78" s="32">
        <f t="shared" si="8"/>
        <v>524100.5</v>
      </c>
      <c r="M78" s="33">
        <v>227012.90000000002</v>
      </c>
      <c r="N78" s="30">
        <v>23790.1</v>
      </c>
      <c r="O78" s="32">
        <f t="shared" si="9"/>
        <v>273297.5</v>
      </c>
      <c r="P78" s="30">
        <v>36129.5</v>
      </c>
      <c r="Q78" s="30">
        <v>743181.20000000019</v>
      </c>
      <c r="R78" s="32">
        <v>2469.1999999999998</v>
      </c>
      <c r="S78" s="30">
        <f t="shared" si="12"/>
        <v>781779.90000000014</v>
      </c>
      <c r="T78" s="34">
        <f t="shared" si="6"/>
        <v>1055077.4000000001</v>
      </c>
      <c r="U78" s="30">
        <f t="shared" si="10"/>
        <v>1284736.3</v>
      </c>
    </row>
    <row r="79" spans="1:21" s="36" customFormat="1" ht="15.75">
      <c r="A79" s="42">
        <v>41670</v>
      </c>
      <c r="B79" s="37">
        <v>102196.30000000005</v>
      </c>
      <c r="C79" s="37">
        <v>112713.69999999998</v>
      </c>
      <c r="D79" s="37">
        <v>-97.183333333333337</v>
      </c>
      <c r="E79" s="30">
        <f t="shared" si="11"/>
        <v>214812.81666666671</v>
      </c>
      <c r="F79" s="31" t="s">
        <v>2</v>
      </c>
      <c r="G79" s="37">
        <v>108779.50000000001</v>
      </c>
      <c r="H79" s="30"/>
      <c r="I79" s="30">
        <v>15342.7</v>
      </c>
      <c r="J79" s="30">
        <v>107284.3</v>
      </c>
      <c r="K79" s="30">
        <v>289290</v>
      </c>
      <c r="L79" s="32">
        <f t="shared" si="8"/>
        <v>520696.5</v>
      </c>
      <c r="M79" s="33">
        <v>234401.17500000002</v>
      </c>
      <c r="N79" s="30">
        <v>23611.000000000004</v>
      </c>
      <c r="O79" s="32">
        <f t="shared" si="9"/>
        <v>262684.32499999995</v>
      </c>
      <c r="P79" s="37">
        <v>36088.483333333337</v>
      </c>
      <c r="Q79" s="37">
        <v>750575.02499999991</v>
      </c>
      <c r="R79" s="32">
        <v>2774.6000000000004</v>
      </c>
      <c r="S79" s="30">
        <f t="shared" si="12"/>
        <v>789438.10833333328</v>
      </c>
      <c r="T79" s="34">
        <f t="shared" si="6"/>
        <v>1052122.4333333331</v>
      </c>
      <c r="U79" s="30">
        <f t="shared" si="10"/>
        <v>1266935.2499999998</v>
      </c>
    </row>
    <row r="80" spans="1:21" s="36" customFormat="1" ht="15.75">
      <c r="A80" s="42">
        <v>41698</v>
      </c>
      <c r="B80" s="37">
        <v>91139.900000000023</v>
      </c>
      <c r="C80" s="37">
        <v>138740.90000000002</v>
      </c>
      <c r="D80" s="37">
        <v>-97.166666666666671</v>
      </c>
      <c r="E80" s="30">
        <f t="shared" si="11"/>
        <v>229783.63333333339</v>
      </c>
      <c r="F80" s="31" t="s">
        <v>2</v>
      </c>
      <c r="G80" s="37">
        <v>112164</v>
      </c>
      <c r="H80" s="30"/>
      <c r="I80" s="30">
        <v>17035.8</v>
      </c>
      <c r="J80" s="30">
        <v>107284.3</v>
      </c>
      <c r="K80" s="30">
        <v>288673.7</v>
      </c>
      <c r="L80" s="32">
        <f t="shared" si="8"/>
        <v>525157.80000000005</v>
      </c>
      <c r="M80" s="33">
        <v>242509.65</v>
      </c>
      <c r="N80" s="30">
        <v>21791.600000000002</v>
      </c>
      <c r="O80" s="32">
        <f t="shared" si="9"/>
        <v>260856.55000000002</v>
      </c>
      <c r="P80" s="37">
        <v>36003.366666666669</v>
      </c>
      <c r="Q80" s="37">
        <v>755007.05</v>
      </c>
      <c r="R80" s="32">
        <v>3027.3</v>
      </c>
      <c r="S80" s="30">
        <f t="shared" si="12"/>
        <v>794037.71666666679</v>
      </c>
      <c r="T80" s="34">
        <f t="shared" si="6"/>
        <v>1054894.2666666668</v>
      </c>
      <c r="U80" s="30">
        <f t="shared" si="10"/>
        <v>1284677.9000000001</v>
      </c>
    </row>
    <row r="81" spans="1:21" s="36" customFormat="1" ht="15.75">
      <c r="A81" s="42">
        <v>41729</v>
      </c>
      <c r="B81" s="37">
        <v>95018.600000000035</v>
      </c>
      <c r="C81" s="37">
        <v>115929.5</v>
      </c>
      <c r="D81" s="37">
        <v>-97.15</v>
      </c>
      <c r="E81" s="30">
        <f t="shared" si="11"/>
        <v>210850.95000000004</v>
      </c>
      <c r="F81" s="31">
        <v>8513</v>
      </c>
      <c r="G81" s="37">
        <v>108771.9</v>
      </c>
      <c r="H81" s="30"/>
      <c r="I81" s="30">
        <v>13380.9</v>
      </c>
      <c r="J81" s="30">
        <v>107284.3</v>
      </c>
      <c r="K81" s="30">
        <v>288673.7</v>
      </c>
      <c r="L81" s="32">
        <f t="shared" si="8"/>
        <v>526623.80000000005</v>
      </c>
      <c r="M81" s="33">
        <v>226231.92499999999</v>
      </c>
      <c r="N81" s="30">
        <v>17505.000000000004</v>
      </c>
      <c r="O81" s="32">
        <f t="shared" si="9"/>
        <v>282886.87500000006</v>
      </c>
      <c r="P81" s="37">
        <v>35670.550000000003</v>
      </c>
      <c r="Q81" s="37">
        <v>743101.375</v>
      </c>
      <c r="R81" s="32">
        <v>3128.7000000000003</v>
      </c>
      <c r="S81" s="30">
        <f t="shared" ref="S81:S138" si="13">SUM(P81:R81)</f>
        <v>781900.625</v>
      </c>
      <c r="T81" s="34">
        <f t="shared" si="6"/>
        <v>1064787.5</v>
      </c>
      <c r="U81" s="30">
        <f t="shared" si="10"/>
        <v>1275638.45</v>
      </c>
    </row>
    <row r="82" spans="1:21" s="36" customFormat="1" ht="15.75">
      <c r="A82" s="42">
        <v>41759</v>
      </c>
      <c r="B82" s="37">
        <v>95155.499999999942</v>
      </c>
      <c r="C82" s="37">
        <v>119186.49999999999</v>
      </c>
      <c r="D82" s="37">
        <v>-97.133333333333326</v>
      </c>
      <c r="E82" s="30">
        <f t="shared" si="11"/>
        <v>214244.86666666661</v>
      </c>
      <c r="F82" s="31">
        <v>14256.4</v>
      </c>
      <c r="G82" s="37">
        <v>137931.09999999998</v>
      </c>
      <c r="H82" s="30"/>
      <c r="I82" s="30">
        <v>18226.099999999999</v>
      </c>
      <c r="J82" s="30">
        <v>107284.3</v>
      </c>
      <c r="K82" s="30">
        <v>288365.59999999998</v>
      </c>
      <c r="L82" s="32">
        <f t="shared" si="8"/>
        <v>566063.5</v>
      </c>
      <c r="M82" s="33">
        <v>216953.09999999998</v>
      </c>
      <c r="N82" s="30">
        <v>16806.800000000003</v>
      </c>
      <c r="O82" s="32">
        <f t="shared" si="9"/>
        <v>332303.60000000003</v>
      </c>
      <c r="P82" s="37">
        <v>35870.433333333342</v>
      </c>
      <c r="Q82" s="37">
        <v>746533.09999999986</v>
      </c>
      <c r="R82" s="32">
        <v>3057.1000000000004</v>
      </c>
      <c r="S82" s="30">
        <f t="shared" si="13"/>
        <v>785460.63333333319</v>
      </c>
      <c r="T82" s="34">
        <f t="shared" si="6"/>
        <v>1117764.2333333332</v>
      </c>
      <c r="U82" s="30">
        <f t="shared" si="10"/>
        <v>1332009.0999999999</v>
      </c>
    </row>
    <row r="83" spans="1:21" s="36" customFormat="1" ht="15.75">
      <c r="A83" s="42">
        <v>41790</v>
      </c>
      <c r="B83" s="37">
        <v>85924</v>
      </c>
      <c r="C83" s="37">
        <v>97861.60000000002</v>
      </c>
      <c r="D83" s="37">
        <v>-97.11666666666666</v>
      </c>
      <c r="E83" s="30">
        <f t="shared" si="11"/>
        <v>183688.48333333337</v>
      </c>
      <c r="F83" s="31">
        <v>16076.5</v>
      </c>
      <c r="G83" s="37">
        <v>131083.79999999999</v>
      </c>
      <c r="H83" s="30"/>
      <c r="I83" s="30">
        <v>15870.5</v>
      </c>
      <c r="J83" s="30">
        <v>107284.3</v>
      </c>
      <c r="K83" s="30">
        <v>287749.3</v>
      </c>
      <c r="L83" s="32">
        <f t="shared" si="8"/>
        <v>558064.39999999991</v>
      </c>
      <c r="M83" s="33">
        <v>200333.77500000002</v>
      </c>
      <c r="N83" s="30">
        <v>12657.699999999999</v>
      </c>
      <c r="O83" s="32">
        <f t="shared" si="9"/>
        <v>345072.92499999987</v>
      </c>
      <c r="P83" s="37">
        <v>38343.216666666674</v>
      </c>
      <c r="Q83" s="37">
        <v>749613.22499999986</v>
      </c>
      <c r="R83" s="32">
        <v>3066.6000000000004</v>
      </c>
      <c r="S83" s="30">
        <f t="shared" si="13"/>
        <v>791023.04166666651</v>
      </c>
      <c r="T83" s="34">
        <f t="shared" si="6"/>
        <v>1136095.9666666663</v>
      </c>
      <c r="U83" s="30">
        <f t="shared" si="10"/>
        <v>1319784.4499999997</v>
      </c>
    </row>
    <row r="84" spans="1:21" s="36" customFormat="1" ht="15.75">
      <c r="A84" s="42">
        <v>41820</v>
      </c>
      <c r="B84" s="37">
        <v>89071.500000000116</v>
      </c>
      <c r="C84" s="37">
        <v>95701.300000000032</v>
      </c>
      <c r="D84" s="37">
        <v>-97.1</v>
      </c>
      <c r="E84" s="30">
        <f t="shared" si="11"/>
        <v>184675.70000000016</v>
      </c>
      <c r="F84" s="31">
        <v>39309.599999999999</v>
      </c>
      <c r="G84" s="37">
        <v>134209.09999999998</v>
      </c>
      <c r="H84" s="30"/>
      <c r="I84" s="30">
        <v>19161.199999999997</v>
      </c>
      <c r="J84" s="30">
        <v>107284.3</v>
      </c>
      <c r="K84" s="30">
        <v>287441.19999999995</v>
      </c>
      <c r="L84" s="32">
        <f t="shared" si="8"/>
        <v>587405.39999999991</v>
      </c>
      <c r="M84" s="33">
        <v>210539.85</v>
      </c>
      <c r="N84" s="30">
        <v>17287.8</v>
      </c>
      <c r="O84" s="32">
        <f t="shared" si="9"/>
        <v>359577.74999999994</v>
      </c>
      <c r="P84" s="37">
        <v>41979.700000000004</v>
      </c>
      <c r="Q84" s="37">
        <v>766726.45000000007</v>
      </c>
      <c r="R84" s="32">
        <v>3154.2</v>
      </c>
      <c r="S84" s="30">
        <f t="shared" si="13"/>
        <v>811860.35</v>
      </c>
      <c r="T84" s="34">
        <f t="shared" si="6"/>
        <v>1171438.0999999999</v>
      </c>
      <c r="U84" s="30">
        <f t="shared" si="10"/>
        <v>1356113.8</v>
      </c>
    </row>
    <row r="85" spans="1:21" s="36" customFormat="1" ht="15.75">
      <c r="A85" s="42">
        <v>41851</v>
      </c>
      <c r="B85" s="37">
        <v>70600.399999999965</v>
      </c>
      <c r="C85" s="37">
        <v>121995.19999999998</v>
      </c>
      <c r="D85" s="37">
        <v>-89.016666666666666</v>
      </c>
      <c r="E85" s="30">
        <f t="shared" si="11"/>
        <v>192506.58333333328</v>
      </c>
      <c r="F85" s="31">
        <v>52779.8</v>
      </c>
      <c r="G85" s="37">
        <v>136756.6</v>
      </c>
      <c r="H85" s="30"/>
      <c r="I85" s="30">
        <v>22483.550000000003</v>
      </c>
      <c r="J85" s="30">
        <v>107284.3</v>
      </c>
      <c r="K85" s="30">
        <v>287441.19999999995</v>
      </c>
      <c r="L85" s="32">
        <f t="shared" si="8"/>
        <v>606745.44999999995</v>
      </c>
      <c r="M85" s="33">
        <v>202970.35833333334</v>
      </c>
      <c r="N85" s="30">
        <v>17393.5</v>
      </c>
      <c r="O85" s="32">
        <f t="shared" si="9"/>
        <v>386381.59166666662</v>
      </c>
      <c r="P85" s="37">
        <v>46379.933333333327</v>
      </c>
      <c r="Q85" s="37">
        <v>774029.6083333334</v>
      </c>
      <c r="R85" s="32">
        <v>3132.7999999999997</v>
      </c>
      <c r="S85" s="30">
        <f t="shared" si="13"/>
        <v>823542.34166666679</v>
      </c>
      <c r="T85" s="34">
        <f t="shared" si="6"/>
        <v>1209923.9333333333</v>
      </c>
      <c r="U85" s="30">
        <f t="shared" si="10"/>
        <v>1402430.5166666666</v>
      </c>
    </row>
    <row r="86" spans="1:21" s="36" customFormat="1" ht="15.75">
      <c r="A86" s="42">
        <v>41882</v>
      </c>
      <c r="B86" s="37">
        <v>82609.899999999965</v>
      </c>
      <c r="C86" s="37">
        <v>68447.799999999974</v>
      </c>
      <c r="D86" s="37">
        <v>-80.933333333333337</v>
      </c>
      <c r="E86" s="30">
        <f t="shared" si="11"/>
        <v>150976.76666666663</v>
      </c>
      <c r="F86" s="31">
        <v>43358.6</v>
      </c>
      <c r="G86" s="37">
        <v>157164.6</v>
      </c>
      <c r="H86" s="30"/>
      <c r="I86" s="30">
        <v>22709.600000000002</v>
      </c>
      <c r="J86" s="30">
        <v>107284.3</v>
      </c>
      <c r="K86" s="30">
        <v>286825</v>
      </c>
      <c r="L86" s="32">
        <f t="shared" si="8"/>
        <v>617342.10000000009</v>
      </c>
      <c r="M86" s="33">
        <v>197053.01111111112</v>
      </c>
      <c r="N86" s="30">
        <v>19854.8</v>
      </c>
      <c r="O86" s="32">
        <f t="shared" si="9"/>
        <v>400434.28888888896</v>
      </c>
      <c r="P86" s="37">
        <v>46409.666666666664</v>
      </c>
      <c r="Q86" s="37">
        <v>793456.26666666672</v>
      </c>
      <c r="R86" s="32">
        <v>3150.2999999999997</v>
      </c>
      <c r="S86" s="30">
        <f t="shared" si="13"/>
        <v>843016.2333333334</v>
      </c>
      <c r="T86" s="34">
        <f t="shared" si="6"/>
        <v>1243450.5222222223</v>
      </c>
      <c r="U86" s="30">
        <f t="shared" si="10"/>
        <v>1394427.2888888889</v>
      </c>
    </row>
    <row r="87" spans="1:21" s="36" customFormat="1" ht="15.75">
      <c r="A87" s="42">
        <v>41912</v>
      </c>
      <c r="B87" s="37">
        <v>142837.30000000005</v>
      </c>
      <c r="C87" s="37">
        <v>70021.499999999971</v>
      </c>
      <c r="D87" s="37">
        <v>-72.849999999999994</v>
      </c>
      <c r="E87" s="30">
        <f t="shared" si="11"/>
        <v>212785.95</v>
      </c>
      <c r="F87" s="31">
        <v>27300.1</v>
      </c>
      <c r="G87" s="37">
        <v>151516.40000000002</v>
      </c>
      <c r="H87" s="30"/>
      <c r="I87" s="30">
        <v>22821.449999999997</v>
      </c>
      <c r="J87" s="30">
        <v>107284.3</v>
      </c>
      <c r="K87" s="30">
        <v>286825</v>
      </c>
      <c r="L87" s="32">
        <f t="shared" si="8"/>
        <v>595747.25</v>
      </c>
      <c r="M87" s="33">
        <v>278447.73611111112</v>
      </c>
      <c r="N87" s="30">
        <v>25072.2</v>
      </c>
      <c r="O87" s="32">
        <f t="shared" si="9"/>
        <v>292227.31388888886</v>
      </c>
      <c r="P87" s="37">
        <v>44045.2</v>
      </c>
      <c r="Q87" s="37">
        <v>785180.62499999988</v>
      </c>
      <c r="R87" s="32">
        <v>3642.8999999999996</v>
      </c>
      <c r="S87" s="30">
        <f t="shared" si="13"/>
        <v>832868.72499999986</v>
      </c>
      <c r="T87" s="34">
        <f t="shared" si="6"/>
        <v>1125096.0388888887</v>
      </c>
      <c r="U87" s="30">
        <f t="shared" si="10"/>
        <v>1337881.9888888886</v>
      </c>
    </row>
    <row r="88" spans="1:21" s="36" customFormat="1" ht="15.75">
      <c r="A88" s="42">
        <v>41943</v>
      </c>
      <c r="B88" s="37">
        <v>138959.60000000009</v>
      </c>
      <c r="C88" s="37">
        <v>64215.799999999974</v>
      </c>
      <c r="D88" s="37">
        <v>-64.766666666666666</v>
      </c>
      <c r="E88" s="30">
        <f t="shared" si="11"/>
        <v>203110.63333333342</v>
      </c>
      <c r="F88" s="31">
        <v>74347</v>
      </c>
      <c r="G88" s="37">
        <v>146788.6</v>
      </c>
      <c r="H88" s="30"/>
      <c r="I88" s="30">
        <v>22390.1</v>
      </c>
      <c r="J88" s="30">
        <v>107284.3</v>
      </c>
      <c r="K88" s="30">
        <v>286516.8</v>
      </c>
      <c r="L88" s="32">
        <f t="shared" si="8"/>
        <v>637326.80000000005</v>
      </c>
      <c r="M88" s="33">
        <v>245816.67592592593</v>
      </c>
      <c r="N88" s="30">
        <v>29509.200000000001</v>
      </c>
      <c r="O88" s="32">
        <f t="shared" si="9"/>
        <v>362000.92407407408</v>
      </c>
      <c r="P88" s="37">
        <v>41628.933333333334</v>
      </c>
      <c r="Q88" s="37">
        <v>790875.81666666653</v>
      </c>
      <c r="R88" s="32">
        <v>3691</v>
      </c>
      <c r="S88" s="30">
        <f t="shared" si="13"/>
        <v>836195.74999999988</v>
      </c>
      <c r="T88" s="34">
        <f t="shared" si="6"/>
        <v>1198196.674074074</v>
      </c>
      <c r="U88" s="30">
        <f t="shared" si="10"/>
        <v>1401307.3074074076</v>
      </c>
    </row>
    <row r="89" spans="1:21" s="36" customFormat="1" ht="15.75">
      <c r="A89" s="42">
        <v>41973</v>
      </c>
      <c r="B89" s="37">
        <v>134061.10000000009</v>
      </c>
      <c r="C89" s="37">
        <v>57822.8</v>
      </c>
      <c r="D89" s="37">
        <v>-56.683333333333337</v>
      </c>
      <c r="E89" s="30">
        <f t="shared" si="11"/>
        <v>191827.21666666676</v>
      </c>
      <c r="F89" s="31">
        <v>41502.5</v>
      </c>
      <c r="G89" s="37">
        <v>154082.5</v>
      </c>
      <c r="H89" s="30"/>
      <c r="I89" s="30">
        <v>18601.55</v>
      </c>
      <c r="J89" s="30">
        <v>106976.2</v>
      </c>
      <c r="K89" s="30">
        <v>286208.59999999998</v>
      </c>
      <c r="L89" s="32">
        <f t="shared" si="8"/>
        <v>607371.35</v>
      </c>
      <c r="M89" s="33">
        <v>246149.85895061732</v>
      </c>
      <c r="N89" s="30">
        <v>31987.8</v>
      </c>
      <c r="O89" s="32">
        <f t="shared" si="9"/>
        <v>329233.69104938267</v>
      </c>
      <c r="P89" s="37">
        <v>40555.466666666667</v>
      </c>
      <c r="Q89" s="37">
        <v>800124.2972222222</v>
      </c>
      <c r="R89" s="32">
        <v>3607.1</v>
      </c>
      <c r="S89" s="30">
        <f t="shared" si="13"/>
        <v>844286.86388888885</v>
      </c>
      <c r="T89" s="34">
        <f t="shared" si="6"/>
        <v>1173520.5549382716</v>
      </c>
      <c r="U89" s="30">
        <f t="shared" si="10"/>
        <v>1365347.7716049384</v>
      </c>
    </row>
    <row r="90" spans="1:21" s="36" customFormat="1" ht="15.75">
      <c r="A90" s="42">
        <v>42004</v>
      </c>
      <c r="B90" s="37">
        <v>128675.89999999997</v>
      </c>
      <c r="C90" s="37">
        <v>51849.400000000023</v>
      </c>
      <c r="D90" s="37">
        <v>-48.6</v>
      </c>
      <c r="E90" s="30">
        <f t="shared" si="11"/>
        <v>180476.69999999998</v>
      </c>
      <c r="F90" s="31">
        <v>55186.9</v>
      </c>
      <c r="G90" s="37">
        <v>147702.70000000001</v>
      </c>
      <c r="H90" s="30"/>
      <c r="I90" s="30">
        <v>49269.8</v>
      </c>
      <c r="J90" s="30">
        <v>106976.2</v>
      </c>
      <c r="K90" s="30">
        <v>285900.5</v>
      </c>
      <c r="L90" s="32">
        <f t="shared" si="8"/>
        <v>645036.10000000009</v>
      </c>
      <c r="M90" s="33">
        <v>238856.59999999998</v>
      </c>
      <c r="N90" s="30">
        <v>23004.400000000001</v>
      </c>
      <c r="O90" s="32">
        <f t="shared" si="9"/>
        <v>383175.10000000009</v>
      </c>
      <c r="P90" s="37">
        <v>40818.700000000004</v>
      </c>
      <c r="Q90" s="37">
        <v>814694.39999999991</v>
      </c>
      <c r="R90" s="32">
        <v>3449.2999999999997</v>
      </c>
      <c r="S90" s="30">
        <f t="shared" si="13"/>
        <v>858962.39999999991</v>
      </c>
      <c r="T90" s="34">
        <f t="shared" si="6"/>
        <v>1242137.5</v>
      </c>
      <c r="U90" s="30">
        <f t="shared" si="10"/>
        <v>1422614.2</v>
      </c>
    </row>
    <row r="91" spans="1:21" s="36" customFormat="1" ht="15.75">
      <c r="A91" s="42">
        <v>42035</v>
      </c>
      <c r="B91" s="31">
        <v>127066.10000000003</v>
      </c>
      <c r="C91" s="31">
        <v>48113.699999999983</v>
      </c>
      <c r="D91" s="31">
        <v>-40.5</v>
      </c>
      <c r="E91" s="30">
        <f t="shared" si="11"/>
        <v>175139.30000000002</v>
      </c>
      <c r="F91" s="31">
        <v>22472.2</v>
      </c>
      <c r="G91" s="31">
        <v>157245.1</v>
      </c>
      <c r="H91" s="31"/>
      <c r="I91" s="30">
        <v>50691.9</v>
      </c>
      <c r="J91" s="31">
        <v>106976.2</v>
      </c>
      <c r="K91" s="31">
        <v>285900.5</v>
      </c>
      <c r="L91" s="32">
        <f t="shared" si="8"/>
        <v>623285.9</v>
      </c>
      <c r="M91" s="31">
        <v>236855.05</v>
      </c>
      <c r="N91" s="30">
        <v>23585.300000000003</v>
      </c>
      <c r="O91" s="32">
        <f t="shared" si="9"/>
        <v>362845.55000000005</v>
      </c>
      <c r="P91" s="37">
        <v>34865.033333333333</v>
      </c>
      <c r="Q91" s="32">
        <v>814769.25</v>
      </c>
      <c r="R91" s="32">
        <v>3291.2000000000003</v>
      </c>
      <c r="S91" s="30">
        <f t="shared" si="13"/>
        <v>852925.48333333328</v>
      </c>
      <c r="T91" s="34">
        <f t="shared" si="6"/>
        <v>1215771.0333333332</v>
      </c>
      <c r="U91" s="30">
        <f t="shared" si="10"/>
        <v>1390910.3333333333</v>
      </c>
    </row>
    <row r="92" spans="1:21" s="36" customFormat="1" ht="15.75">
      <c r="A92" s="42">
        <v>42063</v>
      </c>
      <c r="B92" s="31">
        <v>122551.00000000006</v>
      </c>
      <c r="C92" s="31">
        <v>30084.300000000017</v>
      </c>
      <c r="D92" s="31">
        <v>-32.400000000000006</v>
      </c>
      <c r="E92" s="30">
        <f t="shared" si="11"/>
        <v>152602.90000000008</v>
      </c>
      <c r="F92" s="31">
        <v>72202.7</v>
      </c>
      <c r="G92" s="31">
        <v>140827.20000000001</v>
      </c>
      <c r="H92" s="31"/>
      <c r="I92" s="30">
        <v>53460.700000000004</v>
      </c>
      <c r="J92" s="31">
        <v>105891</v>
      </c>
      <c r="K92" s="31">
        <v>284644.40000000002</v>
      </c>
      <c r="L92" s="32">
        <f t="shared" si="8"/>
        <v>657026</v>
      </c>
      <c r="M92" s="31">
        <v>234965.2</v>
      </c>
      <c r="N92" s="30">
        <v>26721.800000000003</v>
      </c>
      <c r="O92" s="32">
        <f t="shared" si="9"/>
        <v>395339</v>
      </c>
      <c r="P92" s="37">
        <v>27562.966666666667</v>
      </c>
      <c r="Q92" s="32">
        <v>812510.39999999991</v>
      </c>
      <c r="R92" s="32">
        <v>3220</v>
      </c>
      <c r="S92" s="30">
        <f t="shared" si="13"/>
        <v>843293.36666666658</v>
      </c>
      <c r="T92" s="34">
        <f t="shared" si="6"/>
        <v>1238632.3666666667</v>
      </c>
      <c r="U92" s="30">
        <f t="shared" si="10"/>
        <v>1391235.2666666668</v>
      </c>
    </row>
    <row r="93" spans="1:21" s="36" customFormat="1" ht="15.75">
      <c r="A93" s="42">
        <v>42094</v>
      </c>
      <c r="B93" s="31">
        <v>115526.40000000002</v>
      </c>
      <c r="C93" s="31">
        <v>45364.599999999977</v>
      </c>
      <c r="D93" s="31">
        <v>-24.300000000000004</v>
      </c>
      <c r="E93" s="30">
        <f t="shared" si="11"/>
        <v>160866.70000000001</v>
      </c>
      <c r="F93" s="31">
        <v>23590.1</v>
      </c>
      <c r="G93" s="31">
        <v>156652.5</v>
      </c>
      <c r="H93" s="31"/>
      <c r="I93" s="30">
        <v>51794.399999999994</v>
      </c>
      <c r="J93" s="31">
        <v>104166</v>
      </c>
      <c r="K93" s="31">
        <v>284644.40000000002</v>
      </c>
      <c r="L93" s="32">
        <f t="shared" si="8"/>
        <v>620847.4</v>
      </c>
      <c r="M93" s="31">
        <v>247417.85000000003</v>
      </c>
      <c r="N93" s="30">
        <v>29000.600000000002</v>
      </c>
      <c r="O93" s="32">
        <f t="shared" si="9"/>
        <v>344428.95</v>
      </c>
      <c r="P93" s="37">
        <v>22882</v>
      </c>
      <c r="Q93" s="32">
        <v>819545.25</v>
      </c>
      <c r="R93" s="32">
        <v>3910.9</v>
      </c>
      <c r="S93" s="30">
        <f t="shared" si="13"/>
        <v>846338.15</v>
      </c>
      <c r="T93" s="34">
        <f t="shared" si="6"/>
        <v>1190767.1000000001</v>
      </c>
      <c r="U93" s="30">
        <f t="shared" si="10"/>
        <v>1351633.8</v>
      </c>
    </row>
    <row r="94" spans="1:21" s="36" customFormat="1" ht="15.75">
      <c r="A94" s="42">
        <v>42124</v>
      </c>
      <c r="B94" s="31">
        <v>93523.400000000081</v>
      </c>
      <c r="C94" s="31">
        <v>54537.899999999994</v>
      </c>
      <c r="D94" s="31">
        <v>-16.200000000000003</v>
      </c>
      <c r="E94" s="30">
        <f t="shared" si="11"/>
        <v>148045.10000000006</v>
      </c>
      <c r="F94" s="31">
        <v>54107.7</v>
      </c>
      <c r="G94" s="31">
        <v>152931.6</v>
      </c>
      <c r="H94" s="31"/>
      <c r="I94" s="30">
        <v>47698.899999999994</v>
      </c>
      <c r="J94" s="31">
        <v>102772.7</v>
      </c>
      <c r="K94" s="31">
        <v>284004.5</v>
      </c>
      <c r="L94" s="32">
        <f t="shared" si="8"/>
        <v>641515.39999999991</v>
      </c>
      <c r="M94" s="31">
        <v>234550.90000000002</v>
      </c>
      <c r="N94" s="30">
        <v>27853.399999999998</v>
      </c>
      <c r="O94" s="32">
        <f t="shared" si="9"/>
        <v>379111.09999999986</v>
      </c>
      <c r="P94" s="37">
        <v>20248.833333333332</v>
      </c>
      <c r="Q94" s="32">
        <v>839791.5</v>
      </c>
      <c r="R94" s="32">
        <v>3961.2999999999997</v>
      </c>
      <c r="S94" s="30">
        <f t="shared" si="13"/>
        <v>864001.63333333342</v>
      </c>
      <c r="T94" s="34">
        <f t="shared" ref="T94:T102" si="14">S94+O94</f>
        <v>1243112.7333333334</v>
      </c>
      <c r="U94" s="30">
        <f t="shared" si="10"/>
        <v>1391157.8333333335</v>
      </c>
    </row>
    <row r="95" spans="1:21" s="36" customFormat="1" ht="15.75">
      <c r="A95" s="42">
        <v>42155</v>
      </c>
      <c r="B95" s="31">
        <v>96969.099999999977</v>
      </c>
      <c r="C95" s="31">
        <v>41533.800000000047</v>
      </c>
      <c r="D95" s="31">
        <v>-8.1000000000000014</v>
      </c>
      <c r="E95" s="30">
        <f t="shared" si="11"/>
        <v>138494.80000000002</v>
      </c>
      <c r="F95" s="31">
        <v>79625</v>
      </c>
      <c r="G95" s="31">
        <v>172465.8</v>
      </c>
      <c r="H95" s="31"/>
      <c r="I95" s="30">
        <v>51473.2</v>
      </c>
      <c r="J95" s="31">
        <v>101379.3</v>
      </c>
      <c r="K95" s="31">
        <v>283364.7</v>
      </c>
      <c r="L95" s="32">
        <f t="shared" si="8"/>
        <v>688308</v>
      </c>
      <c r="M95" s="31">
        <v>237907.74999999997</v>
      </c>
      <c r="N95" s="30">
        <v>28395.399999999998</v>
      </c>
      <c r="O95" s="32">
        <f t="shared" si="9"/>
        <v>422004.85</v>
      </c>
      <c r="P95" s="37">
        <v>16421.366666666665</v>
      </c>
      <c r="Q95" s="32">
        <v>850867.45</v>
      </c>
      <c r="R95" s="32">
        <v>4189.7</v>
      </c>
      <c r="S95" s="30">
        <f t="shared" si="13"/>
        <v>871478.5166666666</v>
      </c>
      <c r="T95" s="34">
        <f t="shared" si="14"/>
        <v>1293483.3666666667</v>
      </c>
      <c r="U95" s="30">
        <f t="shared" si="10"/>
        <v>1431978.1666666667</v>
      </c>
    </row>
    <row r="96" spans="1:21" s="36" customFormat="1" ht="15.75">
      <c r="A96" s="42">
        <v>42185</v>
      </c>
      <c r="B96" s="31">
        <v>11927.5</v>
      </c>
      <c r="C96" s="31">
        <v>53211.099999999977</v>
      </c>
      <c r="D96" s="31" t="s">
        <v>2</v>
      </c>
      <c r="E96" s="30">
        <f t="shared" si="11"/>
        <v>65138.599999999977</v>
      </c>
      <c r="F96" s="31">
        <v>121700.8</v>
      </c>
      <c r="G96" s="31">
        <v>166756.20000000001</v>
      </c>
      <c r="H96" s="31"/>
      <c r="I96" s="30">
        <v>48976.1</v>
      </c>
      <c r="J96" s="31">
        <v>100317.8</v>
      </c>
      <c r="K96" s="31">
        <v>282393.09999999998</v>
      </c>
      <c r="L96" s="32">
        <f t="shared" si="8"/>
        <v>720144</v>
      </c>
      <c r="M96" s="31">
        <v>229581.90000000002</v>
      </c>
      <c r="N96" s="30">
        <v>26258.899999999998</v>
      </c>
      <c r="O96" s="32">
        <f t="shared" si="9"/>
        <v>464303.19999999995</v>
      </c>
      <c r="P96" s="37">
        <v>9628.4</v>
      </c>
      <c r="Q96" s="32">
        <v>856754.29999999981</v>
      </c>
      <c r="R96" s="32">
        <v>3822.2</v>
      </c>
      <c r="S96" s="30">
        <f t="shared" si="13"/>
        <v>870204.89999999979</v>
      </c>
      <c r="T96" s="34">
        <f t="shared" si="14"/>
        <v>1334508.0999999996</v>
      </c>
      <c r="U96" s="30">
        <f t="shared" si="10"/>
        <v>1399646.6999999997</v>
      </c>
    </row>
    <row r="97" spans="1:21" s="36" customFormat="1" ht="15.75">
      <c r="A97" s="42">
        <v>42216</v>
      </c>
      <c r="B97" s="31">
        <v>-2305.5999999999185</v>
      </c>
      <c r="C97" s="31">
        <v>32200.400000000023</v>
      </c>
      <c r="D97" s="31" t="s">
        <v>2</v>
      </c>
      <c r="E97" s="30">
        <f t="shared" si="11"/>
        <v>29894.800000000105</v>
      </c>
      <c r="F97" s="31">
        <v>124466.2</v>
      </c>
      <c r="G97" s="31">
        <v>170582</v>
      </c>
      <c r="H97" s="31"/>
      <c r="I97" s="30">
        <v>48274.816666666666</v>
      </c>
      <c r="J97" s="31">
        <v>98924.5</v>
      </c>
      <c r="K97" s="31">
        <v>281753.2</v>
      </c>
      <c r="L97" s="32">
        <f t="shared" si="8"/>
        <v>724000.71666666667</v>
      </c>
      <c r="M97" s="31">
        <v>204000.28333333333</v>
      </c>
      <c r="N97" s="30">
        <v>26401.600000000002</v>
      </c>
      <c r="O97" s="32">
        <f t="shared" si="9"/>
        <v>493598.83333333337</v>
      </c>
      <c r="P97" s="37">
        <v>13310.2</v>
      </c>
      <c r="Q97" s="32">
        <v>865872.11666666646</v>
      </c>
      <c r="R97" s="32">
        <v>3822.1</v>
      </c>
      <c r="S97" s="30">
        <f t="shared" si="13"/>
        <v>883004.4166666664</v>
      </c>
      <c r="T97" s="34">
        <f t="shared" si="14"/>
        <v>1376603.2499999998</v>
      </c>
      <c r="U97" s="30">
        <f t="shared" si="10"/>
        <v>1406498.0499999998</v>
      </c>
    </row>
    <row r="98" spans="1:21" s="36" customFormat="1" ht="15.75">
      <c r="A98" s="42">
        <v>42247</v>
      </c>
      <c r="B98" s="31">
        <v>-43032.299999999872</v>
      </c>
      <c r="C98" s="31">
        <v>46238.700000000012</v>
      </c>
      <c r="D98" s="31" t="s">
        <v>2</v>
      </c>
      <c r="E98" s="30">
        <f t="shared" si="11"/>
        <v>3206.4000000001397</v>
      </c>
      <c r="F98" s="31">
        <v>162684.9</v>
      </c>
      <c r="G98" s="31">
        <v>170888.3</v>
      </c>
      <c r="H98" s="31"/>
      <c r="I98" s="30">
        <v>47924.261111111111</v>
      </c>
      <c r="J98" s="31">
        <v>97531.199999999997</v>
      </c>
      <c r="K98" s="31">
        <v>281113.30000000005</v>
      </c>
      <c r="L98" s="32">
        <f t="shared" si="8"/>
        <v>760141.9611111111</v>
      </c>
      <c r="M98" s="31">
        <v>192151.59444444446</v>
      </c>
      <c r="N98" s="30">
        <v>34152.399999999994</v>
      </c>
      <c r="O98" s="32">
        <f t="shared" si="9"/>
        <v>533837.96666666667</v>
      </c>
      <c r="P98" s="37">
        <v>13105</v>
      </c>
      <c r="Q98" s="32">
        <v>867113.3666666667</v>
      </c>
      <c r="R98" s="32">
        <v>3846.9</v>
      </c>
      <c r="S98" s="30">
        <f t="shared" si="13"/>
        <v>884065.26666666672</v>
      </c>
      <c r="T98" s="34">
        <f t="shared" si="14"/>
        <v>1417903.2333333334</v>
      </c>
      <c r="U98" s="30">
        <f t="shared" si="10"/>
        <v>1421109.6333333335</v>
      </c>
    </row>
    <row r="99" spans="1:21" s="36" customFormat="1" ht="15.75">
      <c r="A99" s="42">
        <v>42277</v>
      </c>
      <c r="B99" s="31">
        <v>-77050.099999999977</v>
      </c>
      <c r="C99" s="31">
        <v>43805.499999999942</v>
      </c>
      <c r="D99" s="31" t="s">
        <v>2</v>
      </c>
      <c r="E99" s="30">
        <f t="shared" si="11"/>
        <v>-33244.600000000035</v>
      </c>
      <c r="F99" s="31">
        <v>201450.1</v>
      </c>
      <c r="G99" s="31">
        <v>177101.60000000003</v>
      </c>
      <c r="H99" s="31"/>
      <c r="I99" s="30">
        <v>50077.969444444447</v>
      </c>
      <c r="J99" s="31">
        <v>96137.9</v>
      </c>
      <c r="K99" s="31">
        <v>280473.5</v>
      </c>
      <c r="L99" s="32">
        <f t="shared" si="8"/>
        <v>805241.0694444445</v>
      </c>
      <c r="M99" s="31">
        <v>208852.61944444446</v>
      </c>
      <c r="N99" s="30">
        <v>29497.3</v>
      </c>
      <c r="O99" s="32">
        <f t="shared" si="9"/>
        <v>566891.15</v>
      </c>
      <c r="P99" s="37">
        <v>14965.4</v>
      </c>
      <c r="Q99" s="32">
        <v>865121.3833333333</v>
      </c>
      <c r="R99" s="32">
        <v>3755.9</v>
      </c>
      <c r="S99" s="30">
        <f t="shared" si="13"/>
        <v>883842.68333333335</v>
      </c>
      <c r="T99" s="34">
        <f t="shared" si="14"/>
        <v>1450733.8333333335</v>
      </c>
      <c r="U99" s="30">
        <f t="shared" si="10"/>
        <v>1417489.2333333334</v>
      </c>
    </row>
    <row r="100" spans="1:21" s="36" customFormat="1" ht="15.75">
      <c r="A100" s="42">
        <v>42308</v>
      </c>
      <c r="B100" s="31">
        <v>-58413.900000000023</v>
      </c>
      <c r="C100" s="31">
        <v>34584.600000000035</v>
      </c>
      <c r="D100" s="31" t="s">
        <v>2</v>
      </c>
      <c r="E100" s="30">
        <f t="shared" si="11"/>
        <v>-23829.299999999988</v>
      </c>
      <c r="F100" s="31">
        <v>227827.20000000001</v>
      </c>
      <c r="G100" s="31">
        <v>194261.09999999998</v>
      </c>
      <c r="H100" s="31"/>
      <c r="I100" s="30">
        <v>54863.787037037036</v>
      </c>
      <c r="J100" s="31">
        <v>95660.7</v>
      </c>
      <c r="K100" s="31">
        <v>279193.7</v>
      </c>
      <c r="L100" s="32">
        <f t="shared" si="8"/>
        <v>851806.48703703703</v>
      </c>
      <c r="M100" s="31">
        <v>190286.82037037038</v>
      </c>
      <c r="N100" s="30">
        <v>33496</v>
      </c>
      <c r="O100" s="32">
        <f t="shared" si="9"/>
        <v>628023.66666666663</v>
      </c>
      <c r="P100" s="37">
        <v>10318.5</v>
      </c>
      <c r="Q100" s="32">
        <v>861702.07777777768</v>
      </c>
      <c r="R100" s="32">
        <v>4663.1000000000004</v>
      </c>
      <c r="S100" s="30">
        <f t="shared" si="13"/>
        <v>876683.67777777766</v>
      </c>
      <c r="T100" s="34">
        <f t="shared" si="14"/>
        <v>1504707.3444444444</v>
      </c>
      <c r="U100" s="30">
        <f t="shared" si="10"/>
        <v>1480878.0444444444</v>
      </c>
    </row>
    <row r="101" spans="1:21" s="36" customFormat="1" ht="15.75">
      <c r="A101" s="42">
        <v>42338</v>
      </c>
      <c r="B101" s="31">
        <v>-112837.10000000003</v>
      </c>
      <c r="C101" s="31">
        <v>28433.800000000017</v>
      </c>
      <c r="D101" s="31" t="s">
        <v>2</v>
      </c>
      <c r="E101" s="30">
        <f t="shared" si="11"/>
        <v>-84403.300000000017</v>
      </c>
      <c r="F101" s="31">
        <v>236897.9</v>
      </c>
      <c r="G101" s="31">
        <v>222734.2</v>
      </c>
      <c r="H101" s="31"/>
      <c r="I101" s="30">
        <v>56418.544135802491</v>
      </c>
      <c r="J101" s="31">
        <v>94267.4</v>
      </c>
      <c r="K101" s="31">
        <v>278553.90000000002</v>
      </c>
      <c r="L101" s="32">
        <f t="shared" si="8"/>
        <v>888871.94413580245</v>
      </c>
      <c r="M101" s="31">
        <v>197165.57191358026</v>
      </c>
      <c r="N101" s="30">
        <v>34078.9</v>
      </c>
      <c r="O101" s="32">
        <f t="shared" si="9"/>
        <v>657627.47222222213</v>
      </c>
      <c r="P101" s="37">
        <v>10127.1</v>
      </c>
      <c r="Q101" s="32">
        <v>830260.12407407397</v>
      </c>
      <c r="R101" s="32">
        <v>8.3000000000000007</v>
      </c>
      <c r="S101" s="30">
        <f t="shared" si="13"/>
        <v>840395.524074074</v>
      </c>
      <c r="T101" s="34">
        <f t="shared" si="14"/>
        <v>1498022.9962962961</v>
      </c>
      <c r="U101" s="30">
        <f t="shared" si="10"/>
        <v>1413619.6962962961</v>
      </c>
    </row>
    <row r="102" spans="1:21" s="36" customFormat="1" ht="15.75">
      <c r="A102" s="42">
        <v>42369</v>
      </c>
      <c r="B102" s="31">
        <v>-132985.60000000001</v>
      </c>
      <c r="C102" s="31">
        <v>57115.499999999971</v>
      </c>
      <c r="D102" s="31" t="s">
        <v>2</v>
      </c>
      <c r="E102" s="30">
        <f t="shared" si="11"/>
        <v>-75870.100000000035</v>
      </c>
      <c r="F102" s="31">
        <v>273246</v>
      </c>
      <c r="G102" s="31">
        <v>254809.2</v>
      </c>
      <c r="H102" s="31"/>
      <c r="I102" s="30">
        <v>50054.3</v>
      </c>
      <c r="J102" s="31">
        <v>90564.7</v>
      </c>
      <c r="K102" s="31">
        <v>277913.90000000002</v>
      </c>
      <c r="L102" s="32">
        <f t="shared" si="8"/>
        <v>946588.1</v>
      </c>
      <c r="M102" s="31">
        <v>233455.5</v>
      </c>
      <c r="N102" s="30">
        <v>26275.999999999996</v>
      </c>
      <c r="O102" s="32">
        <f t="shared" si="9"/>
        <v>686856.6</v>
      </c>
      <c r="P102" s="37">
        <v>6532.0999999999995</v>
      </c>
      <c r="Q102" s="32">
        <v>812972</v>
      </c>
      <c r="R102" s="32">
        <v>27.1</v>
      </c>
      <c r="S102" s="30">
        <f t="shared" si="13"/>
        <v>819531.2</v>
      </c>
      <c r="T102" s="34">
        <f t="shared" si="14"/>
        <v>1506387.7999999998</v>
      </c>
      <c r="U102" s="30">
        <f t="shared" si="10"/>
        <v>1430517.6999999997</v>
      </c>
    </row>
    <row r="103" spans="1:21" s="36" customFormat="1" ht="15.75">
      <c r="A103" s="42">
        <v>42400</v>
      </c>
      <c r="B103" s="31">
        <v>-135855.99999999997</v>
      </c>
      <c r="C103" s="31">
        <v>16621.999999999971</v>
      </c>
      <c r="D103" s="31" t="s">
        <v>2</v>
      </c>
      <c r="E103" s="30">
        <f t="shared" si="11"/>
        <v>-119234</v>
      </c>
      <c r="F103" s="31">
        <v>230233.5</v>
      </c>
      <c r="G103" s="31">
        <v>266534</v>
      </c>
      <c r="H103" s="31"/>
      <c r="I103" s="30">
        <v>49668.816666666666</v>
      </c>
      <c r="J103" s="31">
        <v>90564.7</v>
      </c>
      <c r="K103" s="31">
        <v>277913.90000000002</v>
      </c>
      <c r="L103" s="32">
        <f t="shared" si="8"/>
        <v>914914.91666666663</v>
      </c>
      <c r="M103" s="31">
        <v>194439.72500000003</v>
      </c>
      <c r="N103" s="30">
        <v>27271.8</v>
      </c>
      <c r="O103" s="32">
        <f t="shared" si="9"/>
        <v>693203.3916666666</v>
      </c>
      <c r="P103" s="37">
        <v>2982.7</v>
      </c>
      <c r="Q103" s="32">
        <v>829600.2666666666</v>
      </c>
      <c r="R103" s="32">
        <v>67.399999999999991</v>
      </c>
      <c r="S103" s="30">
        <f t="shared" si="13"/>
        <v>832650.36666666658</v>
      </c>
      <c r="T103" s="34">
        <f t="shared" ref="T103:T138" si="15">S103+O103</f>
        <v>1525853.7583333333</v>
      </c>
      <c r="U103" s="30">
        <f t="shared" ref="U103:U138" si="16">T103+E103</f>
        <v>1406619.7583333333</v>
      </c>
    </row>
    <row r="104" spans="1:21" s="36" customFormat="1" ht="15.75">
      <c r="A104" s="42">
        <v>42429</v>
      </c>
      <c r="B104" s="31">
        <v>-166598.10000000003</v>
      </c>
      <c r="C104" s="31">
        <v>33809.399999999965</v>
      </c>
      <c r="D104" s="31" t="s">
        <v>2</v>
      </c>
      <c r="E104" s="30">
        <f t="shared" si="11"/>
        <v>-132788.70000000007</v>
      </c>
      <c r="F104" s="31">
        <v>260394.9</v>
      </c>
      <c r="G104" s="31">
        <v>282730.90000000002</v>
      </c>
      <c r="H104" s="31"/>
      <c r="I104" s="30">
        <v>52982.73333333333</v>
      </c>
      <c r="J104" s="31">
        <v>89171.4</v>
      </c>
      <c r="K104" s="31">
        <v>277274.09999999998</v>
      </c>
      <c r="L104" s="32">
        <f t="shared" si="8"/>
        <v>962554.03333333333</v>
      </c>
      <c r="M104" s="31">
        <v>200431.34999999998</v>
      </c>
      <c r="N104" s="30">
        <v>27229.1</v>
      </c>
      <c r="O104" s="32">
        <f t="shared" si="9"/>
        <v>734893.58333333337</v>
      </c>
      <c r="P104" s="37">
        <v>3467.3</v>
      </c>
      <c r="Q104" s="32">
        <v>831034.2333333334</v>
      </c>
      <c r="R104" s="32">
        <v>24.400000000000002</v>
      </c>
      <c r="S104" s="30">
        <f t="shared" si="13"/>
        <v>834525.93333333347</v>
      </c>
      <c r="T104" s="34">
        <f t="shared" si="15"/>
        <v>1569419.5166666668</v>
      </c>
      <c r="U104" s="30">
        <f t="shared" si="16"/>
        <v>1436630.8166666669</v>
      </c>
    </row>
    <row r="105" spans="1:21" s="36" customFormat="1" ht="15.75">
      <c r="A105" s="42">
        <v>42460</v>
      </c>
      <c r="B105" s="31">
        <v>-194954.00000000006</v>
      </c>
      <c r="C105" s="31">
        <v>33930.199999999953</v>
      </c>
      <c r="D105" s="31" t="s">
        <v>2</v>
      </c>
      <c r="E105" s="30">
        <f t="shared" si="11"/>
        <v>-161023.8000000001</v>
      </c>
      <c r="F105" s="31">
        <v>273246</v>
      </c>
      <c r="G105" s="31">
        <v>296894.8</v>
      </c>
      <c r="H105" s="31"/>
      <c r="I105" s="30">
        <v>49389.950000000004</v>
      </c>
      <c r="J105" s="31">
        <v>86384.8</v>
      </c>
      <c r="K105" s="31">
        <v>275994.3</v>
      </c>
      <c r="L105" s="32">
        <f t="shared" si="8"/>
        <v>981909.85000000009</v>
      </c>
      <c r="M105" s="31">
        <v>231671.77500000002</v>
      </c>
      <c r="N105" s="30">
        <v>25784.100000000002</v>
      </c>
      <c r="O105" s="32">
        <f t="shared" si="9"/>
        <v>724453.97500000009</v>
      </c>
      <c r="P105" s="37">
        <v>2767.5</v>
      </c>
      <c r="Q105" s="32">
        <v>832325.4</v>
      </c>
      <c r="R105" s="32">
        <v>22.2</v>
      </c>
      <c r="S105" s="30">
        <f t="shared" si="13"/>
        <v>835115.1</v>
      </c>
      <c r="T105" s="34">
        <f t="shared" si="15"/>
        <v>1559569.0750000002</v>
      </c>
      <c r="U105" s="30">
        <f t="shared" si="16"/>
        <v>1398545.2750000001</v>
      </c>
    </row>
    <row r="106" spans="1:21" s="36" customFormat="1" ht="15.75">
      <c r="A106" s="42">
        <v>42490</v>
      </c>
      <c r="B106" s="31">
        <v>-175516.19999999998</v>
      </c>
      <c r="C106" s="31">
        <v>6223.3999999999942</v>
      </c>
      <c r="D106" s="31" t="s">
        <v>2</v>
      </c>
      <c r="E106" s="30">
        <f t="shared" si="11"/>
        <v>-169292.79999999999</v>
      </c>
      <c r="F106" s="31">
        <v>4780.0999999999767</v>
      </c>
      <c r="G106" s="31">
        <v>319584.7</v>
      </c>
      <c r="H106" s="31"/>
      <c r="I106" s="30">
        <v>54947.166666666672</v>
      </c>
      <c r="J106" s="31">
        <v>86384.8</v>
      </c>
      <c r="K106" s="31">
        <v>549240.30000000005</v>
      </c>
      <c r="L106" s="32">
        <f t="shared" si="8"/>
        <v>1014937.0666666667</v>
      </c>
      <c r="M106" s="31">
        <v>213918.30000000002</v>
      </c>
      <c r="N106" s="30">
        <v>31710.300000000003</v>
      </c>
      <c r="O106" s="32">
        <f t="shared" si="9"/>
        <v>769308.46666666656</v>
      </c>
      <c r="P106" s="37">
        <v>6585.9</v>
      </c>
      <c r="Q106" s="32">
        <v>825005.7666666666</v>
      </c>
      <c r="R106" s="32">
        <v>46.2</v>
      </c>
      <c r="S106" s="30">
        <f t="shared" si="13"/>
        <v>831637.86666666658</v>
      </c>
      <c r="T106" s="34">
        <f t="shared" si="15"/>
        <v>1600946.333333333</v>
      </c>
      <c r="U106" s="30">
        <f t="shared" si="16"/>
        <v>1431653.533333333</v>
      </c>
    </row>
    <row r="107" spans="1:21" s="36" customFormat="1" ht="15.75">
      <c r="A107" s="42">
        <v>42521</v>
      </c>
      <c r="B107" s="31">
        <v>-195743.39999999997</v>
      </c>
      <c r="C107" s="31">
        <v>454.5</v>
      </c>
      <c r="D107" s="31" t="s">
        <v>2</v>
      </c>
      <c r="E107" s="30">
        <f t="shared" si="11"/>
        <v>-195288.89999999997</v>
      </c>
      <c r="F107" s="31">
        <v>21652.299999999988</v>
      </c>
      <c r="G107" s="31">
        <v>322381.7</v>
      </c>
      <c r="H107" s="31"/>
      <c r="I107" s="30">
        <v>54341.78333333334</v>
      </c>
      <c r="J107" s="31">
        <v>84991.5</v>
      </c>
      <c r="K107" s="31">
        <v>548600.5</v>
      </c>
      <c r="L107" s="32">
        <f t="shared" si="8"/>
        <v>1031967.7833333333</v>
      </c>
      <c r="M107" s="31">
        <v>216270.52499999999</v>
      </c>
      <c r="N107" s="30">
        <v>33788.199999999997</v>
      </c>
      <c r="O107" s="32">
        <f t="shared" si="9"/>
        <v>781909.05833333335</v>
      </c>
      <c r="P107" s="37">
        <v>7303.9</v>
      </c>
      <c r="Q107" s="32">
        <v>839250.23333333328</v>
      </c>
      <c r="R107" s="32">
        <v>56.4</v>
      </c>
      <c r="S107" s="30">
        <f t="shared" si="13"/>
        <v>846610.53333333333</v>
      </c>
      <c r="T107" s="34">
        <f t="shared" si="15"/>
        <v>1628519.5916666668</v>
      </c>
      <c r="U107" s="30">
        <f t="shared" si="16"/>
        <v>1433230.6916666669</v>
      </c>
    </row>
    <row r="108" spans="1:21" s="36" customFormat="1" ht="15.75">
      <c r="A108" s="42">
        <v>42551</v>
      </c>
      <c r="B108" s="31">
        <v>-186003.4</v>
      </c>
      <c r="C108" s="31">
        <v>20116.699999999953</v>
      </c>
      <c r="D108" s="31" t="s">
        <v>2</v>
      </c>
      <c r="E108" s="30">
        <f t="shared" si="11"/>
        <v>-165886.70000000004</v>
      </c>
      <c r="F108" s="31">
        <v>19504.700000000012</v>
      </c>
      <c r="G108" s="31">
        <v>348742.9</v>
      </c>
      <c r="H108" s="31"/>
      <c r="I108" s="30">
        <v>53066.8</v>
      </c>
      <c r="J108" s="31">
        <v>83598.2</v>
      </c>
      <c r="K108" s="31">
        <v>547320.69999999995</v>
      </c>
      <c r="L108" s="32">
        <f t="shared" si="8"/>
        <v>1052233.3</v>
      </c>
      <c r="M108" s="31">
        <v>222571.65000000002</v>
      </c>
      <c r="N108" s="30">
        <v>41471.800000000003</v>
      </c>
      <c r="O108" s="32">
        <f t="shared" si="9"/>
        <v>788189.85</v>
      </c>
      <c r="P108" s="37">
        <v>6427</v>
      </c>
      <c r="Q108" s="32">
        <v>857911.70000000007</v>
      </c>
      <c r="R108" s="32">
        <v>59.2</v>
      </c>
      <c r="S108" s="30">
        <f t="shared" si="13"/>
        <v>864397.9</v>
      </c>
      <c r="T108" s="34">
        <f t="shared" si="15"/>
        <v>1652587.75</v>
      </c>
      <c r="U108" s="30">
        <f t="shared" si="16"/>
        <v>1486701.05</v>
      </c>
    </row>
    <row r="109" spans="1:21" s="36" customFormat="1" ht="15.75">
      <c r="A109" s="42">
        <v>42582</v>
      </c>
      <c r="B109" s="31">
        <v>-186226.3</v>
      </c>
      <c r="C109" s="31">
        <v>-2306.100000000064</v>
      </c>
      <c r="D109" s="31" t="s">
        <v>2</v>
      </c>
      <c r="E109" s="30">
        <f t="shared" si="11"/>
        <v>-188532.40000000005</v>
      </c>
      <c r="F109" s="31">
        <v>17403.200000000012</v>
      </c>
      <c r="G109" s="31">
        <v>365969.8</v>
      </c>
      <c r="H109" s="31"/>
      <c r="I109" s="30">
        <v>54167.7</v>
      </c>
      <c r="J109" s="31">
        <v>82204.899999999994</v>
      </c>
      <c r="K109" s="31">
        <v>546680.9</v>
      </c>
      <c r="L109" s="32">
        <f t="shared" si="8"/>
        <v>1066426.5</v>
      </c>
      <c r="M109" s="31">
        <v>219058.05833333335</v>
      </c>
      <c r="N109" s="30">
        <v>39586.400000000009</v>
      </c>
      <c r="O109" s="32">
        <f t="shared" si="9"/>
        <v>807782.04166666663</v>
      </c>
      <c r="P109" s="37">
        <v>11339</v>
      </c>
      <c r="Q109" s="32">
        <v>851044.93333333335</v>
      </c>
      <c r="R109" s="32">
        <v>35.000000000000007</v>
      </c>
      <c r="S109" s="30">
        <f t="shared" si="13"/>
        <v>862418.93333333335</v>
      </c>
      <c r="T109" s="34">
        <f t="shared" si="15"/>
        <v>1670200.9750000001</v>
      </c>
      <c r="U109" s="30">
        <f t="shared" si="16"/>
        <v>1481668.575</v>
      </c>
    </row>
    <row r="110" spans="1:21" s="36" customFormat="1" ht="15.75">
      <c r="A110" s="42">
        <v>42613</v>
      </c>
      <c r="B110" s="31">
        <v>-192550.6</v>
      </c>
      <c r="C110" s="31">
        <v>-9672.7000000000262</v>
      </c>
      <c r="D110" s="31" t="s">
        <v>2</v>
      </c>
      <c r="E110" s="30">
        <f t="shared" si="11"/>
        <v>-202223.30000000005</v>
      </c>
      <c r="F110" s="31">
        <v>10113</v>
      </c>
      <c r="G110" s="31">
        <v>370225.1</v>
      </c>
      <c r="H110" s="31"/>
      <c r="I110" s="30">
        <v>47786.5</v>
      </c>
      <c r="J110" s="31">
        <v>80811.600000000006</v>
      </c>
      <c r="K110" s="31">
        <v>546041</v>
      </c>
      <c r="L110" s="32">
        <f t="shared" si="8"/>
        <v>1054977.2</v>
      </c>
      <c r="M110" s="31">
        <v>211792.26666666669</v>
      </c>
      <c r="N110" s="30">
        <v>29870.1</v>
      </c>
      <c r="O110" s="32">
        <f t="shared" si="9"/>
        <v>813314.83333333326</v>
      </c>
      <c r="P110" s="37">
        <v>10303.200000000001</v>
      </c>
      <c r="Q110" s="32">
        <v>877081.2666666666</v>
      </c>
      <c r="R110" s="32">
        <v>26.900000000000002</v>
      </c>
      <c r="S110" s="30">
        <f t="shared" si="13"/>
        <v>887411.36666666658</v>
      </c>
      <c r="T110" s="34">
        <f t="shared" si="15"/>
        <v>1700726.1999999997</v>
      </c>
      <c r="U110" s="30">
        <f t="shared" si="16"/>
        <v>1498502.8999999997</v>
      </c>
    </row>
    <row r="111" spans="1:21" s="36" customFormat="1" ht="15.75">
      <c r="A111" s="42">
        <v>42643</v>
      </c>
      <c r="B111" s="31">
        <v>-181601</v>
      </c>
      <c r="C111" s="31">
        <v>-10844.799999999959</v>
      </c>
      <c r="D111" s="31" t="s">
        <v>2</v>
      </c>
      <c r="E111" s="30">
        <f t="shared" si="11"/>
        <v>-192445.79999999996</v>
      </c>
      <c r="F111" s="31">
        <v>18972.7</v>
      </c>
      <c r="G111" s="31">
        <v>390238.4</v>
      </c>
      <c r="H111" s="31"/>
      <c r="I111" s="30">
        <v>46843.899999999994</v>
      </c>
      <c r="J111" s="31">
        <v>79418.3</v>
      </c>
      <c r="K111" s="31">
        <v>546041</v>
      </c>
      <c r="L111" s="32">
        <f t="shared" si="8"/>
        <v>1081514.3</v>
      </c>
      <c r="M111" s="31">
        <v>220076.07500000001</v>
      </c>
      <c r="N111" s="30">
        <v>34600.5</v>
      </c>
      <c r="O111" s="32">
        <f t="shared" si="9"/>
        <v>826837.72500000009</v>
      </c>
      <c r="P111" s="37">
        <v>11245.4</v>
      </c>
      <c r="Q111" s="32">
        <v>872234.79999999993</v>
      </c>
      <c r="R111" s="32">
        <v>15.5</v>
      </c>
      <c r="S111" s="30">
        <f t="shared" si="13"/>
        <v>883495.7</v>
      </c>
      <c r="T111" s="34">
        <f t="shared" si="15"/>
        <v>1710333.425</v>
      </c>
      <c r="U111" s="30">
        <f t="shared" si="16"/>
        <v>1517887.625</v>
      </c>
    </row>
    <row r="112" spans="1:21" s="36" customFormat="1" ht="15.75">
      <c r="A112" s="42">
        <v>42674</v>
      </c>
      <c r="B112" s="31">
        <v>-181634.80000000002</v>
      </c>
      <c r="C112" s="31">
        <v>-14712.400000000023</v>
      </c>
      <c r="D112" s="31" t="s">
        <v>2</v>
      </c>
      <c r="E112" s="30">
        <f t="shared" si="11"/>
        <v>-196347.20000000004</v>
      </c>
      <c r="F112" s="31">
        <v>37280.9</v>
      </c>
      <c r="G112" s="31">
        <v>391147.4</v>
      </c>
      <c r="H112" s="31"/>
      <c r="I112" s="30">
        <v>51279.066666666666</v>
      </c>
      <c r="J112" s="31">
        <v>78024.899999999994</v>
      </c>
      <c r="K112" s="31">
        <v>545401.19999999995</v>
      </c>
      <c r="L112" s="32">
        <f t="shared" si="8"/>
        <v>1103133.4666666668</v>
      </c>
      <c r="M112" s="31">
        <v>223779.11666666664</v>
      </c>
      <c r="N112" s="30">
        <v>29570.199999999997</v>
      </c>
      <c r="O112" s="32">
        <f t="shared" si="9"/>
        <v>849784.15000000014</v>
      </c>
      <c r="P112" s="37">
        <v>9115.2999999999993</v>
      </c>
      <c r="Q112" s="32">
        <v>870003.23333333316</v>
      </c>
      <c r="R112" s="32">
        <v>21</v>
      </c>
      <c r="S112" s="30">
        <f t="shared" si="13"/>
        <v>879139.53333333321</v>
      </c>
      <c r="T112" s="34">
        <f t="shared" si="15"/>
        <v>1728923.6833333333</v>
      </c>
      <c r="U112" s="30">
        <f t="shared" si="16"/>
        <v>1532576.4833333334</v>
      </c>
    </row>
    <row r="113" spans="1:21" s="36" customFormat="1" ht="15.75">
      <c r="A113" s="42">
        <v>42704</v>
      </c>
      <c r="B113" s="31">
        <v>-174078</v>
      </c>
      <c r="C113" s="31">
        <v>-6939.5000000000291</v>
      </c>
      <c r="D113" s="31" t="s">
        <v>2</v>
      </c>
      <c r="E113" s="30">
        <f t="shared" si="11"/>
        <v>-181017.50000000003</v>
      </c>
      <c r="F113" s="31">
        <v>69788.2</v>
      </c>
      <c r="G113" s="31">
        <v>404323.99999999988</v>
      </c>
      <c r="H113" s="31"/>
      <c r="I113" s="30">
        <v>53115.833333333328</v>
      </c>
      <c r="J113" s="31">
        <v>75238.3</v>
      </c>
      <c r="K113" s="31">
        <v>544121.5</v>
      </c>
      <c r="L113" s="32">
        <f t="shared" si="8"/>
        <v>1146587.8333333333</v>
      </c>
      <c r="M113" s="31">
        <v>232963.04722222226</v>
      </c>
      <c r="N113" s="30">
        <v>29497.7</v>
      </c>
      <c r="O113" s="32">
        <f t="shared" si="9"/>
        <v>884127.0861111111</v>
      </c>
      <c r="P113" s="37">
        <v>6989.2999999999993</v>
      </c>
      <c r="Q113" s="32">
        <v>863617.57777777768</v>
      </c>
      <c r="R113" s="32">
        <v>13.3</v>
      </c>
      <c r="S113" s="30">
        <f t="shared" si="13"/>
        <v>870620.17777777778</v>
      </c>
      <c r="T113" s="34">
        <f t="shared" si="15"/>
        <v>1754747.263888889</v>
      </c>
      <c r="U113" s="30">
        <f t="shared" si="16"/>
        <v>1573729.763888889</v>
      </c>
    </row>
    <row r="114" spans="1:21" s="36" customFormat="1" ht="15.75">
      <c r="A114" s="42">
        <v>42735</v>
      </c>
      <c r="B114" s="31">
        <v>-162073.80000000002</v>
      </c>
      <c r="C114" s="31">
        <v>-14449.299999999974</v>
      </c>
      <c r="D114" s="31" t="s">
        <v>2</v>
      </c>
      <c r="E114" s="30">
        <f t="shared" si="11"/>
        <v>-176523.09999999998</v>
      </c>
      <c r="F114" s="31">
        <v>134973.1</v>
      </c>
      <c r="G114" s="31">
        <v>438079.6</v>
      </c>
      <c r="H114" s="31"/>
      <c r="I114" s="30">
        <v>37133.1</v>
      </c>
      <c r="J114" s="31">
        <v>73845.100000000006</v>
      </c>
      <c r="K114" s="31">
        <v>543481.59999999998</v>
      </c>
      <c r="L114" s="32">
        <f t="shared" si="8"/>
        <v>1227512.5</v>
      </c>
      <c r="M114" s="31">
        <v>291260.3</v>
      </c>
      <c r="N114" s="30">
        <v>30394.800000000003</v>
      </c>
      <c r="O114" s="32">
        <f t="shared" si="9"/>
        <v>905857.39999999991</v>
      </c>
      <c r="P114" s="37">
        <v>7173.4000000000005</v>
      </c>
      <c r="Q114" s="32">
        <v>854034</v>
      </c>
      <c r="R114" s="32">
        <v>57.6</v>
      </c>
      <c r="S114" s="30">
        <f t="shared" si="13"/>
        <v>861265</v>
      </c>
      <c r="T114" s="34">
        <f t="shared" si="15"/>
        <v>1767122.4</v>
      </c>
      <c r="U114" s="30">
        <f t="shared" si="16"/>
        <v>1590599.2999999998</v>
      </c>
    </row>
    <row r="115" spans="1:21" s="36" customFormat="1" ht="15.75">
      <c r="A115" s="42">
        <v>42766</v>
      </c>
      <c r="B115" s="31">
        <v>-140840.69999999998</v>
      </c>
      <c r="C115" s="31">
        <v>-26017.300000000003</v>
      </c>
      <c r="D115" s="31"/>
      <c r="E115" s="30">
        <f t="shared" si="11"/>
        <v>-166858</v>
      </c>
      <c r="F115" s="31">
        <v>91642.3</v>
      </c>
      <c r="G115" s="31">
        <v>434826.99999999988</v>
      </c>
      <c r="H115" s="31"/>
      <c r="I115" s="30">
        <v>36989.983333333337</v>
      </c>
      <c r="J115" s="31">
        <v>73845</v>
      </c>
      <c r="K115" s="31">
        <v>543481.59999999998</v>
      </c>
      <c r="L115" s="32">
        <f t="shared" si="8"/>
        <v>1180785.8833333333</v>
      </c>
      <c r="M115" s="31">
        <v>229536.38333333333</v>
      </c>
      <c r="N115" s="30">
        <v>35154.5</v>
      </c>
      <c r="O115" s="32">
        <f t="shared" si="9"/>
        <v>916095</v>
      </c>
      <c r="P115" s="37">
        <v>5315</v>
      </c>
      <c r="Q115" s="32">
        <v>851398.95</v>
      </c>
      <c r="R115" s="32">
        <v>38.9</v>
      </c>
      <c r="S115" s="30">
        <f t="shared" si="13"/>
        <v>856752.85</v>
      </c>
      <c r="T115" s="34">
        <f t="shared" si="15"/>
        <v>1772847.85</v>
      </c>
      <c r="U115" s="30">
        <f t="shared" si="16"/>
        <v>1605989.85</v>
      </c>
    </row>
    <row r="116" spans="1:21" s="36" customFormat="1" ht="15.75">
      <c r="A116" s="42">
        <v>42794</v>
      </c>
      <c r="B116" s="31">
        <v>-116167</v>
      </c>
      <c r="C116" s="31">
        <v>-30275.099999999977</v>
      </c>
      <c r="D116" s="31"/>
      <c r="E116" s="30">
        <f t="shared" si="11"/>
        <v>-146442.09999999998</v>
      </c>
      <c r="F116" s="31">
        <v>107598.6</v>
      </c>
      <c r="G116" s="31">
        <v>463337.09999999992</v>
      </c>
      <c r="H116" s="31"/>
      <c r="I116" s="30">
        <v>38593.466666666667</v>
      </c>
      <c r="J116" s="31">
        <v>71058.399999999994</v>
      </c>
      <c r="K116" s="31">
        <v>542201.9</v>
      </c>
      <c r="L116" s="32">
        <f t="shared" si="8"/>
        <v>1222789.4666666668</v>
      </c>
      <c r="M116" s="31">
        <v>262216.96666666667</v>
      </c>
      <c r="N116" s="30">
        <v>31124.2</v>
      </c>
      <c r="O116" s="32">
        <f t="shared" si="9"/>
        <v>929448.30000000016</v>
      </c>
      <c r="P116" s="37">
        <v>4372</v>
      </c>
      <c r="Q116" s="32">
        <v>815244.10000000009</v>
      </c>
      <c r="R116" s="32">
        <v>63.3</v>
      </c>
      <c r="S116" s="30">
        <f t="shared" si="13"/>
        <v>819679.40000000014</v>
      </c>
      <c r="T116" s="34">
        <f t="shared" si="15"/>
        <v>1749127.7000000002</v>
      </c>
      <c r="U116" s="30">
        <f t="shared" si="16"/>
        <v>1602685.6</v>
      </c>
    </row>
    <row r="117" spans="1:21" s="36" customFormat="1" ht="15.75">
      <c r="A117" s="42">
        <v>42825</v>
      </c>
      <c r="B117" s="31">
        <v>-133135.90000000002</v>
      </c>
      <c r="C117" s="31">
        <v>-31494.300000000003</v>
      </c>
      <c r="D117" s="31"/>
      <c r="E117" s="30">
        <f t="shared" si="11"/>
        <v>-164630.20000000001</v>
      </c>
      <c r="F117" s="31">
        <v>130042.5</v>
      </c>
      <c r="G117" s="31">
        <v>474831.29999999993</v>
      </c>
      <c r="H117" s="31"/>
      <c r="I117" s="31">
        <v>48614.55</v>
      </c>
      <c r="J117" s="31">
        <v>69665.100000000006</v>
      </c>
      <c r="K117" s="31">
        <v>541562</v>
      </c>
      <c r="L117" s="32">
        <f t="shared" si="8"/>
        <v>1264715.45</v>
      </c>
      <c r="M117" s="31">
        <v>247676.35</v>
      </c>
      <c r="N117" s="30">
        <v>31886.899999999998</v>
      </c>
      <c r="O117" s="32">
        <f t="shared" si="9"/>
        <v>985152.2</v>
      </c>
      <c r="P117" s="37">
        <v>6812.0999999999995</v>
      </c>
      <c r="Q117" s="32">
        <v>806759.35000000009</v>
      </c>
      <c r="R117" s="32">
        <v>58.6</v>
      </c>
      <c r="S117" s="30">
        <f t="shared" si="13"/>
        <v>813630.05</v>
      </c>
      <c r="T117" s="34">
        <f t="shared" si="15"/>
        <v>1798782.25</v>
      </c>
      <c r="U117" s="30">
        <f t="shared" si="16"/>
        <v>1634152.05</v>
      </c>
    </row>
    <row r="118" spans="1:21" s="36" customFormat="1" ht="15.75">
      <c r="A118" s="42">
        <v>42855</v>
      </c>
      <c r="B118" s="31">
        <v>-140187.20000000004</v>
      </c>
      <c r="C118" s="31">
        <v>-22900.300000000017</v>
      </c>
      <c r="D118" s="31"/>
      <c r="E118" s="30">
        <f t="shared" si="11"/>
        <v>-163087.50000000006</v>
      </c>
      <c r="F118" s="31">
        <v>122074.2</v>
      </c>
      <c r="G118" s="31">
        <v>493038.8</v>
      </c>
      <c r="H118" s="31"/>
      <c r="I118" s="31">
        <v>44744.53333333334</v>
      </c>
      <c r="J118" s="31">
        <v>69665.100000000006</v>
      </c>
      <c r="K118" s="31">
        <v>541562</v>
      </c>
      <c r="L118" s="32">
        <f t="shared" si="8"/>
        <v>1271084.6333333333</v>
      </c>
      <c r="M118" s="31">
        <v>233480.46666666667</v>
      </c>
      <c r="N118" s="30">
        <v>38837.9</v>
      </c>
      <c r="O118" s="32">
        <f t="shared" si="9"/>
        <v>998766.2666666666</v>
      </c>
      <c r="P118" s="37">
        <v>5679.7</v>
      </c>
      <c r="Q118" s="32">
        <v>803471.96666666679</v>
      </c>
      <c r="R118" s="32">
        <v>45.9</v>
      </c>
      <c r="S118" s="30">
        <f t="shared" si="13"/>
        <v>809197.56666666677</v>
      </c>
      <c r="T118" s="34">
        <f t="shared" si="15"/>
        <v>1807963.8333333335</v>
      </c>
      <c r="U118" s="30">
        <f t="shared" si="16"/>
        <v>1644876.3333333335</v>
      </c>
    </row>
    <row r="119" spans="1:21" s="36" customFormat="1" ht="15.75">
      <c r="A119" s="42">
        <v>42886</v>
      </c>
      <c r="B119" s="31">
        <v>-104424.50000000006</v>
      </c>
      <c r="C119" s="31">
        <v>-8989.1999999999825</v>
      </c>
      <c r="D119" s="31"/>
      <c r="E119" s="30">
        <f t="shared" si="11"/>
        <v>-113413.70000000004</v>
      </c>
      <c r="F119" s="31">
        <v>139502.5</v>
      </c>
      <c r="G119" s="31">
        <v>511695.80000000005</v>
      </c>
      <c r="H119" s="31"/>
      <c r="I119" s="31">
        <v>46120.016666666663</v>
      </c>
      <c r="J119" s="31">
        <v>68271.8</v>
      </c>
      <c r="K119" s="31">
        <v>540922.1</v>
      </c>
      <c r="L119" s="32">
        <f t="shared" si="8"/>
        <v>1306512.2166666668</v>
      </c>
      <c r="M119" s="31">
        <v>282236.28333333333</v>
      </c>
      <c r="N119" s="30">
        <v>46467.700000000004</v>
      </c>
      <c r="O119" s="32">
        <f t="shared" si="9"/>
        <v>977808.23333333351</v>
      </c>
      <c r="P119" s="37">
        <v>7590.3</v>
      </c>
      <c r="Q119" s="32">
        <v>817242.78333333344</v>
      </c>
      <c r="R119" s="32">
        <v>19.5</v>
      </c>
      <c r="S119" s="30">
        <f t="shared" si="13"/>
        <v>824852.58333333349</v>
      </c>
      <c r="T119" s="34">
        <f t="shared" si="15"/>
        <v>1802660.8166666669</v>
      </c>
      <c r="U119" s="30">
        <f t="shared" si="16"/>
        <v>1689247.1166666669</v>
      </c>
    </row>
    <row r="120" spans="1:21" s="36" customFormat="1" ht="15.75">
      <c r="A120" s="42">
        <v>42916</v>
      </c>
      <c r="B120" s="31">
        <v>-140476.99999999994</v>
      </c>
      <c r="C120" s="31">
        <v>-12640.399999999994</v>
      </c>
      <c r="D120" s="31"/>
      <c r="E120" s="30">
        <f t="shared" si="11"/>
        <v>-153117.39999999994</v>
      </c>
      <c r="F120" s="31">
        <v>141652.79999999999</v>
      </c>
      <c r="G120" s="31">
        <v>520961.5</v>
      </c>
      <c r="H120" s="31"/>
      <c r="I120" s="31">
        <v>41050</v>
      </c>
      <c r="J120" s="31">
        <v>66878.5</v>
      </c>
      <c r="K120" s="31">
        <v>540282.30000000005</v>
      </c>
      <c r="L120" s="32">
        <f t="shared" si="8"/>
        <v>1310825.1000000001</v>
      </c>
      <c r="M120" s="31">
        <v>246217.90000000002</v>
      </c>
      <c r="N120" s="30">
        <v>54196.200000000004</v>
      </c>
      <c r="O120" s="32">
        <f t="shared" si="9"/>
        <v>1010411.0000000002</v>
      </c>
      <c r="P120" s="37">
        <v>13580.699999999999</v>
      </c>
      <c r="Q120" s="32">
        <v>857454.3</v>
      </c>
      <c r="R120" s="32">
        <v>33.299999999999997</v>
      </c>
      <c r="S120" s="30">
        <f t="shared" si="13"/>
        <v>871068.3</v>
      </c>
      <c r="T120" s="34">
        <f t="shared" si="15"/>
        <v>1881479.3000000003</v>
      </c>
      <c r="U120" s="30">
        <f t="shared" si="16"/>
        <v>1728361.9000000004</v>
      </c>
    </row>
    <row r="121" spans="1:21" s="36" customFormat="1" ht="15.75">
      <c r="A121" s="42">
        <v>42947</v>
      </c>
      <c r="B121" s="31">
        <v>-165541.40000000002</v>
      </c>
      <c r="C121" s="31">
        <v>10518.300000000017</v>
      </c>
      <c r="D121" s="31"/>
      <c r="E121" s="30">
        <f t="shared" si="11"/>
        <v>-155023.1</v>
      </c>
      <c r="F121" s="31">
        <v>126976.7</v>
      </c>
      <c r="G121" s="31">
        <v>517101.10000000003</v>
      </c>
      <c r="H121" s="31"/>
      <c r="I121" s="31">
        <v>40961.25</v>
      </c>
      <c r="J121" s="31">
        <v>65485.2</v>
      </c>
      <c r="K121" s="31">
        <v>539642.4</v>
      </c>
      <c r="L121" s="32">
        <f t="shared" si="8"/>
        <v>1290166.6499999999</v>
      </c>
      <c r="M121" s="31">
        <v>248778.76666666669</v>
      </c>
      <c r="N121" s="30">
        <v>45772.9</v>
      </c>
      <c r="O121" s="32">
        <f t="shared" si="9"/>
        <v>995614.98333333316</v>
      </c>
      <c r="P121" s="37">
        <v>14083.899999999998</v>
      </c>
      <c r="Q121" s="32">
        <v>878601.00000000012</v>
      </c>
      <c r="R121" s="32">
        <v>41.9</v>
      </c>
      <c r="S121" s="30">
        <f t="shared" si="13"/>
        <v>892726.80000000016</v>
      </c>
      <c r="T121" s="34">
        <f t="shared" si="15"/>
        <v>1888341.7833333332</v>
      </c>
      <c r="U121" s="30">
        <f t="shared" si="16"/>
        <v>1733318.6833333331</v>
      </c>
    </row>
    <row r="122" spans="1:21" s="36" customFormat="1" ht="15.75">
      <c r="A122" s="42">
        <v>42978</v>
      </c>
      <c r="B122" s="31">
        <v>-141377.29999999999</v>
      </c>
      <c r="C122" s="31">
        <v>-36521.700000000012</v>
      </c>
      <c r="D122" s="31"/>
      <c r="E122" s="30">
        <f t="shared" si="11"/>
        <v>-177899</v>
      </c>
      <c r="F122" s="31">
        <v>129280.9</v>
      </c>
      <c r="G122" s="31">
        <v>534156.80000000005</v>
      </c>
      <c r="H122" s="31"/>
      <c r="I122" s="31">
        <v>44402.2</v>
      </c>
      <c r="J122" s="31">
        <v>62698.6</v>
      </c>
      <c r="K122" s="31">
        <v>538362.6</v>
      </c>
      <c r="L122" s="32">
        <f t="shared" si="8"/>
        <v>1308901.1000000001</v>
      </c>
      <c r="M122" s="31">
        <v>241182.73333333334</v>
      </c>
      <c r="N122" s="30">
        <v>36993.599999999999</v>
      </c>
      <c r="O122" s="32">
        <f t="shared" si="9"/>
        <v>1030724.7666666667</v>
      </c>
      <c r="P122" s="37">
        <v>19603.199999999997</v>
      </c>
      <c r="Q122" s="32">
        <v>887335.6</v>
      </c>
      <c r="R122" s="32">
        <v>39.299999999999997</v>
      </c>
      <c r="S122" s="30">
        <f t="shared" si="13"/>
        <v>906978.1</v>
      </c>
      <c r="T122" s="34">
        <f t="shared" si="15"/>
        <v>1937702.8666666667</v>
      </c>
      <c r="U122" s="30">
        <f t="shared" si="16"/>
        <v>1759803.8666666667</v>
      </c>
    </row>
    <row r="123" spans="1:21" s="36" customFormat="1" ht="15.75">
      <c r="A123" s="42">
        <v>43008</v>
      </c>
      <c r="B123" s="31">
        <v>-134023.79999999999</v>
      </c>
      <c r="C123" s="31">
        <v>-42355.7</v>
      </c>
      <c r="D123" s="31"/>
      <c r="E123" s="30">
        <f t="shared" si="11"/>
        <v>-176379.5</v>
      </c>
      <c r="F123" s="31">
        <v>112382.3</v>
      </c>
      <c r="G123" s="31">
        <v>550738.80000000005</v>
      </c>
      <c r="H123" s="31"/>
      <c r="I123" s="31">
        <v>44013.45</v>
      </c>
      <c r="J123" s="31">
        <v>62698.6</v>
      </c>
      <c r="K123" s="31">
        <v>538362.6</v>
      </c>
      <c r="L123" s="32">
        <f t="shared" si="8"/>
        <v>1308195.75</v>
      </c>
      <c r="M123" s="31">
        <v>234692.7</v>
      </c>
      <c r="N123" s="30">
        <v>36826.199999999997</v>
      </c>
      <c r="O123" s="32">
        <f t="shared" si="9"/>
        <v>1036676.8500000001</v>
      </c>
      <c r="P123" s="37">
        <v>28033</v>
      </c>
      <c r="Q123" s="32">
        <v>893468</v>
      </c>
      <c r="R123" s="32">
        <v>56.1</v>
      </c>
      <c r="S123" s="30">
        <f t="shared" si="13"/>
        <v>921557.1</v>
      </c>
      <c r="T123" s="34">
        <f t="shared" si="15"/>
        <v>1958233.9500000002</v>
      </c>
      <c r="U123" s="30">
        <f t="shared" si="16"/>
        <v>1781854.4500000002</v>
      </c>
    </row>
    <row r="124" spans="1:21" s="36" customFormat="1" ht="15.75">
      <c r="A124" s="42">
        <v>43039</v>
      </c>
      <c r="B124" s="31">
        <v>-126420.60000000003</v>
      </c>
      <c r="C124" s="31">
        <v>12222.300000000017</v>
      </c>
      <c r="D124" s="31"/>
      <c r="E124" s="30">
        <f t="shared" si="11"/>
        <v>-114198.30000000002</v>
      </c>
      <c r="F124" s="31">
        <v>144881.70000000001</v>
      </c>
      <c r="G124" s="31">
        <v>550691.5</v>
      </c>
      <c r="H124" s="31"/>
      <c r="I124" s="31">
        <v>39800.766666666663</v>
      </c>
      <c r="J124" s="31">
        <v>59912</v>
      </c>
      <c r="K124" s="31">
        <v>537082.9</v>
      </c>
      <c r="L124" s="32">
        <f t="shared" si="8"/>
        <v>1332368.8666666667</v>
      </c>
      <c r="M124" s="31">
        <v>300928.10000000003</v>
      </c>
      <c r="N124" s="30">
        <v>36557</v>
      </c>
      <c r="O124" s="32">
        <f t="shared" si="9"/>
        <v>994883.7666666666</v>
      </c>
      <c r="P124" s="37">
        <v>29792.5</v>
      </c>
      <c r="Q124" s="32">
        <v>903481.13333333319</v>
      </c>
      <c r="R124" s="32">
        <v>47.7</v>
      </c>
      <c r="S124" s="30">
        <f t="shared" si="13"/>
        <v>933321.33333333314</v>
      </c>
      <c r="T124" s="34">
        <f t="shared" si="15"/>
        <v>1928205.0999999996</v>
      </c>
      <c r="U124" s="30">
        <f t="shared" si="16"/>
        <v>1814006.7999999996</v>
      </c>
    </row>
    <row r="125" spans="1:21" s="36" customFormat="1" ht="15.75">
      <c r="A125" s="42">
        <v>43069</v>
      </c>
      <c r="B125" s="31">
        <v>-145157.30000000002</v>
      </c>
      <c r="C125" s="31">
        <v>814</v>
      </c>
      <c r="D125" s="31"/>
      <c r="E125" s="30">
        <f t="shared" si="11"/>
        <v>-144343.30000000002</v>
      </c>
      <c r="F125" s="31">
        <v>150659</v>
      </c>
      <c r="G125" s="31">
        <v>572181.1</v>
      </c>
      <c r="H125" s="31"/>
      <c r="I125" s="31">
        <v>32592.883333333335</v>
      </c>
      <c r="J125" s="31">
        <v>59912</v>
      </c>
      <c r="K125" s="31">
        <v>536443</v>
      </c>
      <c r="L125" s="32">
        <f t="shared" si="8"/>
        <v>1351787.9833333334</v>
      </c>
      <c r="M125" s="31">
        <v>268557.89999999997</v>
      </c>
      <c r="N125" s="30">
        <v>44760.4</v>
      </c>
      <c r="O125" s="32">
        <f t="shared" si="9"/>
        <v>1038469.6833333335</v>
      </c>
      <c r="P125" s="37">
        <v>33823.800000000003</v>
      </c>
      <c r="Q125" s="32">
        <v>905361.26666666672</v>
      </c>
      <c r="R125" s="32">
        <v>4522.3</v>
      </c>
      <c r="S125" s="30">
        <f t="shared" si="13"/>
        <v>943707.36666666681</v>
      </c>
      <c r="T125" s="34">
        <f t="shared" si="15"/>
        <v>1982177.0500000003</v>
      </c>
      <c r="U125" s="30">
        <f t="shared" si="16"/>
        <v>1837833.7500000002</v>
      </c>
    </row>
    <row r="126" spans="1:21" s="36" customFormat="1" ht="15.75">
      <c r="A126" s="42">
        <v>43100</v>
      </c>
      <c r="B126" s="31">
        <v>-144480.39999999997</v>
      </c>
      <c r="C126" s="31">
        <v>-9919.6000000000058</v>
      </c>
      <c r="D126" s="31" t="s">
        <v>2</v>
      </c>
      <c r="E126" s="30">
        <f t="shared" si="11"/>
        <v>-154399.99999999997</v>
      </c>
      <c r="F126" s="31">
        <v>194279.4</v>
      </c>
      <c r="G126" s="31">
        <v>643490.6</v>
      </c>
      <c r="H126" s="31"/>
      <c r="I126" s="31">
        <v>30924.9</v>
      </c>
      <c r="J126" s="31">
        <v>57125.4</v>
      </c>
      <c r="K126" s="31">
        <v>535803.19999999995</v>
      </c>
      <c r="L126" s="32">
        <f t="shared" si="8"/>
        <v>1461623.5</v>
      </c>
      <c r="M126" s="31">
        <v>300060.10000000009</v>
      </c>
      <c r="N126" s="30">
        <v>49349</v>
      </c>
      <c r="O126" s="32">
        <f t="shared" si="9"/>
        <v>1112214.3999999999</v>
      </c>
      <c r="P126" s="37">
        <v>28762.899999999998</v>
      </c>
      <c r="Q126" s="32">
        <v>859051.5</v>
      </c>
      <c r="R126" s="32">
        <v>4937.3999999999996</v>
      </c>
      <c r="S126" s="30">
        <f t="shared" si="13"/>
        <v>892751.8</v>
      </c>
      <c r="T126" s="34">
        <f t="shared" si="15"/>
        <v>2004966.2</v>
      </c>
      <c r="U126" s="30">
        <f t="shared" si="16"/>
        <v>1850566.2</v>
      </c>
    </row>
    <row r="127" spans="1:21" s="36" customFormat="1" ht="15.75">
      <c r="A127" s="42">
        <v>43131</v>
      </c>
      <c r="B127" s="31">
        <v>-165010.79999999999</v>
      </c>
      <c r="C127" s="31">
        <v>-12497.699999999983</v>
      </c>
      <c r="D127" s="31" t="s">
        <v>2</v>
      </c>
      <c r="E127" s="30">
        <f t="shared" si="11"/>
        <v>-177508.49999999997</v>
      </c>
      <c r="F127" s="31">
        <v>154611.4</v>
      </c>
      <c r="G127" s="31">
        <v>662177.9</v>
      </c>
      <c r="H127" s="31"/>
      <c r="I127" s="31">
        <v>29868.35</v>
      </c>
      <c r="J127" s="31">
        <v>55732.1</v>
      </c>
      <c r="K127" s="31">
        <v>535163.30000000005</v>
      </c>
      <c r="L127" s="32">
        <f t="shared" si="8"/>
        <v>1437553.05</v>
      </c>
      <c r="M127" s="31">
        <v>273185</v>
      </c>
      <c r="N127" s="30">
        <v>53988.5</v>
      </c>
      <c r="O127" s="32">
        <f t="shared" si="9"/>
        <v>1110379.55</v>
      </c>
      <c r="P127" s="37">
        <v>25425.200000000001</v>
      </c>
      <c r="Q127" s="32">
        <v>861275.6</v>
      </c>
      <c r="R127" s="32">
        <v>4778.2</v>
      </c>
      <c r="S127" s="30">
        <f t="shared" si="13"/>
        <v>891478.99999999988</v>
      </c>
      <c r="T127" s="34">
        <f t="shared" si="15"/>
        <v>2001858.5499999998</v>
      </c>
      <c r="U127" s="30">
        <f t="shared" si="16"/>
        <v>1824350.0499999998</v>
      </c>
    </row>
    <row r="128" spans="1:21" s="36" customFormat="1" ht="15.75">
      <c r="A128" s="42">
        <v>43159</v>
      </c>
      <c r="B128" s="31">
        <v>-136231.60000000003</v>
      </c>
      <c r="C128" s="31">
        <v>7962.1999999999825</v>
      </c>
      <c r="D128" s="31" t="s">
        <v>2</v>
      </c>
      <c r="E128" s="30">
        <f t="shared" si="11"/>
        <v>-128269.40000000005</v>
      </c>
      <c r="F128" s="31">
        <v>156799.4</v>
      </c>
      <c r="G128" s="31">
        <v>689269.8</v>
      </c>
      <c r="H128" s="31"/>
      <c r="I128" s="31">
        <v>33745.700000000004</v>
      </c>
      <c r="J128" s="31">
        <v>54338.8</v>
      </c>
      <c r="K128" s="31">
        <v>534523.4</v>
      </c>
      <c r="L128" s="32">
        <f t="shared" si="8"/>
        <v>1468677.1</v>
      </c>
      <c r="M128" s="31">
        <v>274672.40000000002</v>
      </c>
      <c r="N128" s="30">
        <v>54895.000000000007</v>
      </c>
      <c r="O128" s="32">
        <f t="shared" si="9"/>
        <v>1139109.7000000002</v>
      </c>
      <c r="P128" s="37">
        <v>17299.899999999998</v>
      </c>
      <c r="Q128" s="32">
        <v>893761.9</v>
      </c>
      <c r="R128" s="32">
        <v>4731.8</v>
      </c>
      <c r="S128" s="30">
        <f t="shared" si="13"/>
        <v>915793.60000000009</v>
      </c>
      <c r="T128" s="34">
        <f t="shared" si="15"/>
        <v>2054903.3000000003</v>
      </c>
      <c r="U128" s="30">
        <f t="shared" si="16"/>
        <v>1926633.9000000001</v>
      </c>
    </row>
    <row r="129" spans="1:21" s="36" customFormat="1" ht="15.75">
      <c r="A129" s="42">
        <v>43190</v>
      </c>
      <c r="B129" s="31">
        <v>-180109.99999999997</v>
      </c>
      <c r="C129" s="31">
        <v>10814.499999999913</v>
      </c>
      <c r="D129" s="31" t="s">
        <v>2</v>
      </c>
      <c r="E129" s="30">
        <f t="shared" si="11"/>
        <v>-169295.50000000006</v>
      </c>
      <c r="F129" s="31">
        <v>151279.20000000001</v>
      </c>
      <c r="G129" s="31">
        <v>716057.39999999991</v>
      </c>
      <c r="H129" s="31"/>
      <c r="I129" s="31">
        <v>39655.5</v>
      </c>
      <c r="J129" s="31">
        <v>52945.5</v>
      </c>
      <c r="K129" s="31">
        <v>533314.30000000005</v>
      </c>
      <c r="L129" s="32">
        <f t="shared" si="8"/>
        <v>1493251.9</v>
      </c>
      <c r="M129" s="31">
        <v>290474.59999999998</v>
      </c>
      <c r="N129" s="30">
        <v>56551.900000000009</v>
      </c>
      <c r="O129" s="32">
        <f t="shared" si="9"/>
        <v>1146225.3999999999</v>
      </c>
      <c r="P129" s="37">
        <v>16032.599999999999</v>
      </c>
      <c r="Q129" s="32">
        <v>887426.7</v>
      </c>
      <c r="R129" s="32">
        <v>5422.5</v>
      </c>
      <c r="S129" s="30">
        <f t="shared" si="13"/>
        <v>908881.79999999993</v>
      </c>
      <c r="T129" s="34">
        <f t="shared" si="15"/>
        <v>2055107.1999999997</v>
      </c>
      <c r="U129" s="30">
        <f t="shared" si="16"/>
        <v>1885811.6999999997</v>
      </c>
    </row>
    <row r="130" spans="1:21" s="36" customFormat="1" ht="15.75">
      <c r="A130" s="42">
        <v>43220</v>
      </c>
      <c r="B130" s="31">
        <v>-152351.79999999999</v>
      </c>
      <c r="C130" s="31">
        <v>-4773.4999999999709</v>
      </c>
      <c r="D130" s="31" t="s">
        <v>2</v>
      </c>
      <c r="E130" s="30">
        <f t="shared" si="11"/>
        <v>-157125.29999999996</v>
      </c>
      <c r="F130" s="31">
        <v>130576.4</v>
      </c>
      <c r="G130" s="31">
        <v>744753.10000000009</v>
      </c>
      <c r="H130" s="31"/>
      <c r="I130" s="31">
        <v>31374.366666666669</v>
      </c>
      <c r="J130" s="31">
        <v>52945.5</v>
      </c>
      <c r="K130" s="31">
        <v>532175.80000000005</v>
      </c>
      <c r="L130" s="32">
        <f t="shared" si="8"/>
        <v>1491825.166666667</v>
      </c>
      <c r="M130" s="31">
        <v>289983.09999999998</v>
      </c>
      <c r="N130" s="30">
        <v>59990</v>
      </c>
      <c r="O130" s="32">
        <f t="shared" si="9"/>
        <v>1141852.0666666669</v>
      </c>
      <c r="P130" s="37">
        <v>14505.4</v>
      </c>
      <c r="Q130" s="32">
        <v>894409.2</v>
      </c>
      <c r="R130" s="32">
        <v>4964</v>
      </c>
      <c r="S130" s="30">
        <f t="shared" si="13"/>
        <v>913878.6</v>
      </c>
      <c r="T130" s="34">
        <f t="shared" si="15"/>
        <v>2055730.666666667</v>
      </c>
      <c r="U130" s="30">
        <f t="shared" si="16"/>
        <v>1898605.3666666669</v>
      </c>
    </row>
    <row r="131" spans="1:21" s="36" customFormat="1" ht="15.75">
      <c r="A131" s="42">
        <v>43251</v>
      </c>
      <c r="B131" s="31">
        <v>-171824.40000000002</v>
      </c>
      <c r="C131" s="31">
        <v>-2357.6999999999825</v>
      </c>
      <c r="D131" s="31" t="s">
        <v>2</v>
      </c>
      <c r="E131" s="30">
        <f t="shared" si="11"/>
        <v>-174182.1</v>
      </c>
      <c r="F131" s="31">
        <v>134896.70000000001</v>
      </c>
      <c r="G131" s="31">
        <v>772226.09999999986</v>
      </c>
      <c r="H131" s="31"/>
      <c r="I131" s="31">
        <v>31843.633333333335</v>
      </c>
      <c r="J131" s="31">
        <v>50158.9</v>
      </c>
      <c r="K131" s="31">
        <v>529757.5</v>
      </c>
      <c r="L131" s="32">
        <f t="shared" si="8"/>
        <v>1518882.833333333</v>
      </c>
      <c r="M131" s="31">
        <v>293405.5</v>
      </c>
      <c r="N131" s="30">
        <v>59494.400000000001</v>
      </c>
      <c r="O131" s="32">
        <f t="shared" si="9"/>
        <v>1165982.9333333331</v>
      </c>
      <c r="P131" s="37">
        <v>14832.3</v>
      </c>
      <c r="Q131" s="32">
        <v>889153.7</v>
      </c>
      <c r="R131" s="32">
        <v>5359.7</v>
      </c>
      <c r="S131" s="30">
        <f t="shared" si="13"/>
        <v>909345.7</v>
      </c>
      <c r="T131" s="34">
        <f t="shared" si="15"/>
        <v>2075328.6333333331</v>
      </c>
      <c r="U131" s="30">
        <f t="shared" si="16"/>
        <v>1901146.533333333</v>
      </c>
    </row>
    <row r="132" spans="1:21" s="36" customFormat="1" ht="15.75">
      <c r="A132" s="42">
        <v>43281</v>
      </c>
      <c r="B132" s="31">
        <v>-175279.1</v>
      </c>
      <c r="C132" s="31">
        <v>-25976.599999999977</v>
      </c>
      <c r="D132" s="31" t="s">
        <v>2</v>
      </c>
      <c r="E132" s="30">
        <f t="shared" si="11"/>
        <v>-201255.69999999998</v>
      </c>
      <c r="F132" s="31">
        <v>201181.6</v>
      </c>
      <c r="G132" s="31">
        <v>799117.89999999991</v>
      </c>
      <c r="H132" s="31"/>
      <c r="I132" s="31">
        <v>61935.900000000009</v>
      </c>
      <c r="J132" s="31">
        <v>50158.9</v>
      </c>
      <c r="K132" s="31">
        <v>529117.6</v>
      </c>
      <c r="L132" s="32">
        <f t="shared" si="8"/>
        <v>1641511.9</v>
      </c>
      <c r="M132" s="31">
        <v>398416.1</v>
      </c>
      <c r="N132" s="30">
        <v>53521.5</v>
      </c>
      <c r="O132" s="32">
        <f t="shared" si="9"/>
        <v>1189574.2999999998</v>
      </c>
      <c r="P132" s="37">
        <v>24405.8</v>
      </c>
      <c r="Q132" s="32">
        <v>940441</v>
      </c>
      <c r="R132" s="32">
        <v>5533.2</v>
      </c>
      <c r="S132" s="30">
        <f t="shared" si="13"/>
        <v>970380</v>
      </c>
      <c r="T132" s="34">
        <f t="shared" si="15"/>
        <v>2159954.2999999998</v>
      </c>
      <c r="U132" s="30">
        <f t="shared" si="16"/>
        <v>1958698.5999999999</v>
      </c>
    </row>
    <row r="133" spans="1:21" s="36" customFormat="1" ht="15.75">
      <c r="A133" s="42">
        <v>43312</v>
      </c>
      <c r="B133" s="31">
        <v>-174985.09999999998</v>
      </c>
      <c r="C133" s="31">
        <v>-24669.800000000017</v>
      </c>
      <c r="D133" s="31">
        <v>-97.2</v>
      </c>
      <c r="E133" s="30">
        <f t="shared" si="11"/>
        <v>-199752.1</v>
      </c>
      <c r="F133" s="31">
        <v>162239</v>
      </c>
      <c r="G133" s="31">
        <v>802635.2</v>
      </c>
      <c r="H133" s="31"/>
      <c r="I133" s="31">
        <v>59864.53333333334</v>
      </c>
      <c r="J133" s="31">
        <v>48765.599999999999</v>
      </c>
      <c r="K133" s="31">
        <v>528548.4</v>
      </c>
      <c r="L133" s="32">
        <f t="shared" si="8"/>
        <v>1602052.7333333334</v>
      </c>
      <c r="M133" s="31">
        <v>349061.9</v>
      </c>
      <c r="N133" s="30">
        <v>47099.000000000007</v>
      </c>
      <c r="O133" s="32">
        <f t="shared" si="9"/>
        <v>1205891.8333333335</v>
      </c>
      <c r="P133" s="37">
        <v>27074.999999999996</v>
      </c>
      <c r="Q133" s="32">
        <v>975970.7</v>
      </c>
      <c r="R133" s="32">
        <v>5486.6</v>
      </c>
      <c r="S133" s="30">
        <f t="shared" si="13"/>
        <v>1008532.2999999999</v>
      </c>
      <c r="T133" s="34">
        <f t="shared" si="15"/>
        <v>2214424.1333333333</v>
      </c>
      <c r="U133" s="30">
        <f t="shared" si="16"/>
        <v>2014672.0333333332</v>
      </c>
    </row>
    <row r="134" spans="1:21" s="36" customFormat="1" ht="15.75">
      <c r="A134" s="42">
        <v>43343</v>
      </c>
      <c r="B134" s="31">
        <v>-171826.4</v>
      </c>
      <c r="C134" s="31">
        <v>-36737.100000000035</v>
      </c>
      <c r="D134" s="31">
        <v>-194.4</v>
      </c>
      <c r="E134" s="30">
        <f t="shared" si="11"/>
        <v>-208757.90000000002</v>
      </c>
      <c r="F134" s="31">
        <v>148049.1</v>
      </c>
      <c r="G134" s="31">
        <v>844453.9</v>
      </c>
      <c r="H134" s="31"/>
      <c r="I134" s="31">
        <v>61327.46666666666</v>
      </c>
      <c r="J134" s="31">
        <v>47372.3</v>
      </c>
      <c r="K134" s="31">
        <v>527339.19999999995</v>
      </c>
      <c r="L134" s="32">
        <f t="shared" si="8"/>
        <v>1628541.9666666666</v>
      </c>
      <c r="M134" s="31">
        <v>340200.7</v>
      </c>
      <c r="N134" s="30">
        <v>61491.499999999993</v>
      </c>
      <c r="O134" s="32">
        <f t="shared" si="9"/>
        <v>1226849.7666666666</v>
      </c>
      <c r="P134" s="37">
        <v>36096.699999999997</v>
      </c>
      <c r="Q134" s="32">
        <v>976985.2</v>
      </c>
      <c r="R134" s="32">
        <v>5519.4</v>
      </c>
      <c r="S134" s="30">
        <f t="shared" si="13"/>
        <v>1018601.2999999999</v>
      </c>
      <c r="T134" s="34">
        <f t="shared" si="15"/>
        <v>2245451.0666666664</v>
      </c>
      <c r="U134" s="30">
        <f t="shared" si="16"/>
        <v>2036693.1666666665</v>
      </c>
    </row>
    <row r="135" spans="1:21" s="36" customFormat="1" ht="15.75">
      <c r="A135" s="42">
        <v>43373</v>
      </c>
      <c r="B135" s="31">
        <v>-185086.7</v>
      </c>
      <c r="C135" s="31">
        <v>-31906.400000000052</v>
      </c>
      <c r="D135" s="31">
        <v>-291.60000000000002</v>
      </c>
      <c r="E135" s="30">
        <f t="shared" si="11"/>
        <v>-217284.70000000007</v>
      </c>
      <c r="F135" s="31">
        <v>151767</v>
      </c>
      <c r="G135" s="31">
        <v>868808.30000000016</v>
      </c>
      <c r="H135" s="31"/>
      <c r="I135" s="31">
        <v>65477.4</v>
      </c>
      <c r="J135" s="31">
        <v>45979</v>
      </c>
      <c r="K135" s="31">
        <v>526130.1</v>
      </c>
      <c r="L135" s="32">
        <f t="shared" ref="L135:L138" si="17">SUM(F135:K135)</f>
        <v>1658161.8000000003</v>
      </c>
      <c r="M135" s="31">
        <v>353050.4</v>
      </c>
      <c r="N135" s="30">
        <v>67423.399999999994</v>
      </c>
      <c r="O135" s="32">
        <f t="shared" ref="O135:O138" si="18">L135-M135-N135</f>
        <v>1237688.0000000005</v>
      </c>
      <c r="P135" s="37">
        <v>32676.399999999998</v>
      </c>
      <c r="Q135" s="32">
        <v>989136.8</v>
      </c>
      <c r="R135" s="32">
        <v>5747.6</v>
      </c>
      <c r="S135" s="30">
        <f t="shared" si="13"/>
        <v>1027560.8</v>
      </c>
      <c r="T135" s="34">
        <f t="shared" si="15"/>
        <v>2265248.8000000007</v>
      </c>
      <c r="U135" s="30">
        <f t="shared" si="16"/>
        <v>2047964.1000000006</v>
      </c>
    </row>
    <row r="136" spans="1:21" s="36" customFormat="1" ht="15.75">
      <c r="A136" s="42">
        <v>43404</v>
      </c>
      <c r="B136" s="31">
        <v>-167112.20000000004</v>
      </c>
      <c r="C136" s="31">
        <v>-44112.100000000035</v>
      </c>
      <c r="D136" s="31">
        <v>-194.40000000000003</v>
      </c>
      <c r="E136" s="30">
        <f t="shared" ref="E136:E138" si="19">SUM(B136:D136)</f>
        <v>-211418.70000000007</v>
      </c>
      <c r="F136" s="31">
        <v>182655.4</v>
      </c>
      <c r="G136" s="31">
        <v>889089.8</v>
      </c>
      <c r="H136" s="31"/>
      <c r="I136" s="31">
        <v>63695.033333333326</v>
      </c>
      <c r="J136" s="31">
        <v>44585.7</v>
      </c>
      <c r="K136" s="31">
        <v>523711.8</v>
      </c>
      <c r="L136" s="32">
        <f t="shared" si="17"/>
        <v>1703737.7333333334</v>
      </c>
      <c r="M136" s="31">
        <v>358860.4</v>
      </c>
      <c r="N136" s="30">
        <v>71166.3</v>
      </c>
      <c r="O136" s="32">
        <f t="shared" si="18"/>
        <v>1273711.0333333334</v>
      </c>
      <c r="P136" s="37">
        <v>44255.700000000012</v>
      </c>
      <c r="Q136" s="32">
        <v>1011544.2</v>
      </c>
      <c r="R136" s="32">
        <v>5786.5</v>
      </c>
      <c r="S136" s="30">
        <f t="shared" si="13"/>
        <v>1061586.3999999999</v>
      </c>
      <c r="T136" s="34">
        <f t="shared" si="15"/>
        <v>2335297.4333333336</v>
      </c>
      <c r="U136" s="30">
        <f t="shared" si="16"/>
        <v>2123878.7333333334</v>
      </c>
    </row>
    <row r="137" spans="1:21" s="36" customFormat="1" ht="15.75">
      <c r="A137" s="42">
        <v>43434</v>
      </c>
      <c r="B137" s="31">
        <v>-156463.60000000003</v>
      </c>
      <c r="C137" s="31">
        <v>-38153.599999999977</v>
      </c>
      <c r="D137" s="31">
        <v>-97.200000000000017</v>
      </c>
      <c r="E137" s="30">
        <f t="shared" si="19"/>
        <v>-194714.40000000002</v>
      </c>
      <c r="F137" s="31">
        <v>182857.3</v>
      </c>
      <c r="G137" s="31">
        <v>913706.2</v>
      </c>
      <c r="H137" s="31"/>
      <c r="I137" s="31">
        <v>63621.566666666666</v>
      </c>
      <c r="J137" s="31">
        <v>43192.4</v>
      </c>
      <c r="K137" s="31">
        <v>523711.8</v>
      </c>
      <c r="L137" s="32">
        <f t="shared" si="17"/>
        <v>1727089.2666666666</v>
      </c>
      <c r="M137" s="31">
        <v>349956.5</v>
      </c>
      <c r="N137" s="30">
        <v>64784.799999999996</v>
      </c>
      <c r="O137" s="32">
        <f t="shared" si="18"/>
        <v>1312347.9666666666</v>
      </c>
      <c r="P137" s="37">
        <v>42729.400000000009</v>
      </c>
      <c r="Q137" s="32">
        <v>1016711.4</v>
      </c>
      <c r="R137" s="32">
        <v>5665.9</v>
      </c>
      <c r="S137" s="30">
        <f t="shared" si="13"/>
        <v>1065106.7</v>
      </c>
      <c r="T137" s="34">
        <f t="shared" si="15"/>
        <v>2377454.6666666665</v>
      </c>
      <c r="U137" s="30">
        <f t="shared" si="16"/>
        <v>2182740.2666666666</v>
      </c>
    </row>
    <row r="138" spans="1:21" s="36" customFormat="1" ht="15.75">
      <c r="A138" s="42">
        <v>43465</v>
      </c>
      <c r="B138" s="31">
        <v>-165217.1</v>
      </c>
      <c r="C138" s="31">
        <v>-37983.9</v>
      </c>
      <c r="D138" s="31" t="s">
        <v>2</v>
      </c>
      <c r="E138" s="30">
        <f t="shared" si="19"/>
        <v>-203201</v>
      </c>
      <c r="F138" s="31">
        <v>210409.1</v>
      </c>
      <c r="G138" s="31">
        <v>932439.20000000007</v>
      </c>
      <c r="H138" s="31"/>
      <c r="I138" s="31">
        <v>58884.2</v>
      </c>
      <c r="J138" s="31">
        <v>40405.800000000003</v>
      </c>
      <c r="K138" s="31">
        <v>521293.6</v>
      </c>
      <c r="L138" s="32">
        <f t="shared" si="17"/>
        <v>1763431.9</v>
      </c>
      <c r="M138" s="31">
        <v>353522.4</v>
      </c>
      <c r="N138" s="30">
        <v>72375.499999999985</v>
      </c>
      <c r="O138" s="32">
        <f t="shared" si="18"/>
        <v>1337534</v>
      </c>
      <c r="P138" s="37">
        <v>42063.6</v>
      </c>
      <c r="Q138" s="32">
        <v>983859.20000000019</v>
      </c>
      <c r="R138" s="32">
        <v>6028.8</v>
      </c>
      <c r="S138" s="30">
        <f t="shared" si="13"/>
        <v>1031951.6000000002</v>
      </c>
      <c r="T138" s="34">
        <f t="shared" si="15"/>
        <v>2369485.6</v>
      </c>
      <c r="U138" s="30">
        <f t="shared" si="16"/>
        <v>2166284.6</v>
      </c>
    </row>
    <row r="139" spans="1:21" s="36" customFormat="1" ht="15.75">
      <c r="A139" s="42">
        <v>43496</v>
      </c>
      <c r="B139" s="31">
        <v>-182568.59999999998</v>
      </c>
      <c r="C139" s="31">
        <v>-55757.799999999988</v>
      </c>
      <c r="D139" s="31" t="s">
        <v>2</v>
      </c>
      <c r="E139" s="30">
        <f t="shared" ref="E139:E144" si="20">+SUM(B139:D139)</f>
        <v>-238326.39999999997</v>
      </c>
      <c r="F139" s="31">
        <v>174198.6</v>
      </c>
      <c r="G139" s="31">
        <v>986516.79999999993</v>
      </c>
      <c r="H139" s="31"/>
      <c r="I139" s="31">
        <v>57507.799999999996</v>
      </c>
      <c r="J139" s="31">
        <v>40405.800000000003</v>
      </c>
      <c r="K139" s="31">
        <v>521293.6</v>
      </c>
      <c r="L139" s="32">
        <f t="shared" ref="L139:L144" si="21">+SUM(F139:K139)</f>
        <v>1779922.6</v>
      </c>
      <c r="M139" s="31">
        <v>370633.2</v>
      </c>
      <c r="N139" s="30">
        <v>61052.1</v>
      </c>
      <c r="O139" s="32">
        <f t="shared" ref="O139:O197" si="22">+L139-M139-N139</f>
        <v>1348237.3</v>
      </c>
      <c r="P139" s="37">
        <v>36041.299999999996</v>
      </c>
      <c r="Q139" s="32">
        <v>977163.1</v>
      </c>
      <c r="R139" s="32">
        <v>6363.7</v>
      </c>
      <c r="S139" s="30">
        <f t="shared" ref="S139:S140" si="23">SUM(P139:R139)</f>
        <v>1019568.1</v>
      </c>
      <c r="T139" s="34">
        <f t="shared" ref="T139:T192" si="24">SUM(O139,S139)</f>
        <v>2367805.4</v>
      </c>
      <c r="U139" s="30">
        <f t="shared" ref="U139:U160" si="25">SUM(E139,T139)</f>
        <v>2129479</v>
      </c>
    </row>
    <row r="140" spans="1:21" s="36" customFormat="1" ht="15.75">
      <c r="A140" s="42">
        <v>43524</v>
      </c>
      <c r="B140" s="31">
        <v>-148014.80000000002</v>
      </c>
      <c r="C140" s="31">
        <v>-56830.499999999971</v>
      </c>
      <c r="D140" s="31" t="s">
        <v>2</v>
      </c>
      <c r="E140" s="30">
        <f t="shared" si="20"/>
        <v>-204845.3</v>
      </c>
      <c r="F140" s="31">
        <v>195688.4</v>
      </c>
      <c r="G140" s="31">
        <v>1016767.7000000001</v>
      </c>
      <c r="H140" s="31"/>
      <c r="I140" s="31">
        <v>55457.5</v>
      </c>
      <c r="J140" s="31">
        <v>39012.5</v>
      </c>
      <c r="K140" s="31">
        <v>520084.5</v>
      </c>
      <c r="L140" s="32">
        <f t="shared" si="21"/>
        <v>1827010.6</v>
      </c>
      <c r="M140" s="31">
        <v>368080.4</v>
      </c>
      <c r="N140" s="30">
        <v>64711.1</v>
      </c>
      <c r="O140" s="32">
        <f t="shared" si="22"/>
        <v>1394219.1</v>
      </c>
      <c r="P140" s="37">
        <v>34014.400000000001</v>
      </c>
      <c r="Q140" s="32">
        <v>991824.5</v>
      </c>
      <c r="R140" s="32">
        <v>6912.9</v>
      </c>
      <c r="S140" s="30">
        <f t="shared" si="23"/>
        <v>1032751.8</v>
      </c>
      <c r="T140" s="34">
        <f t="shared" si="24"/>
        <v>2426970.9000000004</v>
      </c>
      <c r="U140" s="30">
        <f t="shared" si="25"/>
        <v>2222125.6000000006</v>
      </c>
    </row>
    <row r="141" spans="1:21" s="36" customFormat="1" ht="15.75">
      <c r="A141" s="42">
        <v>43555</v>
      </c>
      <c r="B141" s="31">
        <v>-166782.39999999999</v>
      </c>
      <c r="C141" s="31">
        <v>-62620.70000000007</v>
      </c>
      <c r="D141" s="31" t="s">
        <v>2</v>
      </c>
      <c r="E141" s="30">
        <f t="shared" si="20"/>
        <v>-229403.10000000006</v>
      </c>
      <c r="F141" s="31">
        <v>221728.4</v>
      </c>
      <c r="G141" s="31">
        <f>74137.1+941488.5+22035.7</f>
        <v>1037661.2999999999</v>
      </c>
      <c r="H141" s="31"/>
      <c r="I141" s="31">
        <v>66134.8</v>
      </c>
      <c r="J141" s="31">
        <v>36225.9</v>
      </c>
      <c r="K141" s="31">
        <v>518306</v>
      </c>
      <c r="L141" s="32">
        <f t="shared" si="21"/>
        <v>1880056.4</v>
      </c>
      <c r="M141" s="31">
        <v>412450</v>
      </c>
      <c r="N141" s="30">
        <v>58269.8</v>
      </c>
      <c r="O141" s="32">
        <f t="shared" si="22"/>
        <v>1409336.5999999999</v>
      </c>
      <c r="P141" s="37">
        <v>32296.6</v>
      </c>
      <c r="Q141" s="32">
        <v>1008148.3000000002</v>
      </c>
      <c r="R141" s="32">
        <v>6662.7</v>
      </c>
      <c r="S141" s="30">
        <f t="shared" ref="S141" si="26">SUM(P141:R141)</f>
        <v>1047107.6000000001</v>
      </c>
      <c r="T141" s="34">
        <f t="shared" si="24"/>
        <v>2456444.2000000002</v>
      </c>
      <c r="U141" s="30">
        <f t="shared" si="25"/>
        <v>2227041.1</v>
      </c>
    </row>
    <row r="142" spans="1:21" s="36" customFormat="1" ht="15.75">
      <c r="A142" s="42">
        <v>43585</v>
      </c>
      <c r="B142" s="31">
        <f>138621.2-298492</f>
        <v>-159870.79999999999</v>
      </c>
      <c r="C142" s="31">
        <f>120674.2-197777.1</f>
        <v>-77102.900000000009</v>
      </c>
      <c r="D142" s="31" t="s">
        <v>2</v>
      </c>
      <c r="E142" s="30">
        <f t="shared" si="20"/>
        <v>-236973.7</v>
      </c>
      <c r="F142" s="31">
        <v>195994.1</v>
      </c>
      <c r="G142" s="31">
        <f>50233.1+1006432.8+19500</f>
        <v>1076165.9000000001</v>
      </c>
      <c r="H142" s="31"/>
      <c r="I142" s="31">
        <v>66482.8</v>
      </c>
      <c r="J142" s="31">
        <v>36225.9</v>
      </c>
      <c r="K142" s="31">
        <v>517334.5</v>
      </c>
      <c r="L142" s="32">
        <f t="shared" si="21"/>
        <v>1892203.2000000002</v>
      </c>
      <c r="M142" s="31">
        <v>390323.7</v>
      </c>
      <c r="N142" s="30">
        <v>56955.6</v>
      </c>
      <c r="O142" s="32">
        <f t="shared" si="22"/>
        <v>1444923.9000000001</v>
      </c>
      <c r="P142" s="37">
        <v>33330.999999999993</v>
      </c>
      <c r="Q142" s="32">
        <v>1004160.3</v>
      </c>
      <c r="R142" s="32">
        <v>6674.3</v>
      </c>
      <c r="S142" s="30">
        <f t="shared" ref="S142" si="27">SUM(P142:R142)</f>
        <v>1044165.6000000001</v>
      </c>
      <c r="T142" s="34">
        <f t="shared" si="24"/>
        <v>2489089.5</v>
      </c>
      <c r="U142" s="30">
        <f t="shared" si="25"/>
        <v>2252115.7999999998</v>
      </c>
    </row>
    <row r="143" spans="1:21" s="36" customFormat="1" ht="15.75">
      <c r="A143" s="42">
        <v>43616</v>
      </c>
      <c r="B143" s="31">
        <f>188353.4-322255.6</f>
        <v>-133902.19999999998</v>
      </c>
      <c r="C143" s="31">
        <f>142300.4-198646.2</f>
        <v>-56345.800000000017</v>
      </c>
      <c r="D143" s="31" t="s">
        <v>2</v>
      </c>
      <c r="E143" s="30">
        <f t="shared" si="20"/>
        <v>-190248</v>
      </c>
      <c r="F143" s="31">
        <v>191866.3</v>
      </c>
      <c r="G143" s="31">
        <f>45273+1055617.8+16915</f>
        <v>1117805.8</v>
      </c>
      <c r="H143" s="31"/>
      <c r="I143" s="31">
        <v>59356.399999999994</v>
      </c>
      <c r="J143" s="31">
        <v>34832.6</v>
      </c>
      <c r="K143" s="31">
        <v>515247.9</v>
      </c>
      <c r="L143" s="32">
        <f t="shared" si="21"/>
        <v>1919109</v>
      </c>
      <c r="M143" s="31">
        <v>428305.4</v>
      </c>
      <c r="N143" s="30">
        <v>67301.8</v>
      </c>
      <c r="O143" s="32">
        <f t="shared" si="22"/>
        <v>1423501.8</v>
      </c>
      <c r="P143" s="37">
        <f>28149+101.6</f>
        <v>28250.6</v>
      </c>
      <c r="Q143" s="32">
        <v>1036819.9</v>
      </c>
      <c r="R143" s="32">
        <v>6967</v>
      </c>
      <c r="S143" s="30">
        <f t="shared" ref="S143:S199" si="28">SUM(P143:R143)</f>
        <v>1072037.5</v>
      </c>
      <c r="T143" s="34">
        <f t="shared" si="24"/>
        <v>2495539.2999999998</v>
      </c>
      <c r="U143" s="30">
        <f t="shared" si="25"/>
        <v>2305291.2999999998</v>
      </c>
    </row>
    <row r="144" spans="1:21" s="36" customFormat="1" ht="15.75">
      <c r="A144" s="42">
        <v>43646</v>
      </c>
      <c r="B144" s="31">
        <f>177153.1-298866.2</f>
        <v>-121713.1</v>
      </c>
      <c r="C144" s="31">
        <f>127120.2-199660</f>
        <v>-72539.8</v>
      </c>
      <c r="D144" s="31" t="s">
        <v>2</v>
      </c>
      <c r="E144" s="30">
        <f t="shared" si="20"/>
        <v>-194252.90000000002</v>
      </c>
      <c r="F144" s="31">
        <v>216009.2</v>
      </c>
      <c r="G144" s="31">
        <f>42174.9+1084518.3+16965</f>
        <v>1143658.2</v>
      </c>
      <c r="H144" s="31"/>
      <c r="I144" s="31">
        <v>59215</v>
      </c>
      <c r="J144" s="31">
        <v>32046</v>
      </c>
      <c r="K144" s="31">
        <v>514038.8</v>
      </c>
      <c r="L144" s="32">
        <f t="shared" si="21"/>
        <v>1964967.2</v>
      </c>
      <c r="M144" s="31">
        <v>427944.6</v>
      </c>
      <c r="N144" s="30">
        <v>62402.2</v>
      </c>
      <c r="O144" s="32">
        <f t="shared" si="22"/>
        <v>1474620.4000000001</v>
      </c>
      <c r="P144" s="37">
        <f>23367.3+101.6</f>
        <v>23468.899999999998</v>
      </c>
      <c r="Q144" s="32">
        <v>1073690.6000000001</v>
      </c>
      <c r="R144" s="32">
        <v>6546.1</v>
      </c>
      <c r="S144" s="30">
        <f t="shared" si="28"/>
        <v>1103705.6000000001</v>
      </c>
      <c r="T144" s="34">
        <f t="shared" si="24"/>
        <v>2578326</v>
      </c>
      <c r="U144" s="30">
        <f t="shared" si="25"/>
        <v>2384073.1</v>
      </c>
    </row>
    <row r="145" spans="1:21" s="36" customFormat="1" ht="15.75">
      <c r="A145" s="42">
        <v>43677</v>
      </c>
      <c r="B145" s="31">
        <f>166708.8-300474.7</f>
        <v>-133765.90000000002</v>
      </c>
      <c r="C145" s="31">
        <f>130910.8-231174</f>
        <v>-100263.2</v>
      </c>
      <c r="D145" s="31" t="s">
        <v>2</v>
      </c>
      <c r="E145" s="30">
        <f t="shared" ref="E145:E156" si="29">+SUM(B145:D145)</f>
        <v>-234029.10000000003</v>
      </c>
      <c r="F145" s="31">
        <v>158917.5</v>
      </c>
      <c r="G145" s="31">
        <f>43953+1112283.8+13837</f>
        <v>1170073.8</v>
      </c>
      <c r="H145" s="31"/>
      <c r="I145" s="31">
        <v>55134.399999999994</v>
      </c>
      <c r="J145" s="31">
        <v>30652.7</v>
      </c>
      <c r="K145" s="31">
        <v>512829.7</v>
      </c>
      <c r="L145" s="32">
        <f t="shared" ref="L145:L156" si="30">+SUM(F145:K145)</f>
        <v>1927608.0999999999</v>
      </c>
      <c r="M145" s="31">
        <v>385962.8</v>
      </c>
      <c r="N145" s="30">
        <v>69016.7</v>
      </c>
      <c r="O145" s="32">
        <f t="shared" si="22"/>
        <v>1472628.5999999999</v>
      </c>
      <c r="P145" s="37">
        <f>19521.9+101.6</f>
        <v>19623.5</v>
      </c>
      <c r="Q145" s="32">
        <v>1117284.0333333332</v>
      </c>
      <c r="R145" s="32">
        <v>6695.5999999999995</v>
      </c>
      <c r="S145" s="30">
        <f t="shared" si="28"/>
        <v>1143603.1333333333</v>
      </c>
      <c r="T145" s="34">
        <f t="shared" si="24"/>
        <v>2616231.7333333334</v>
      </c>
      <c r="U145" s="30">
        <f t="shared" si="25"/>
        <v>2382202.6333333333</v>
      </c>
    </row>
    <row r="146" spans="1:21" s="36" customFormat="1" ht="15.75">
      <c r="A146" s="42">
        <v>43708</v>
      </c>
      <c r="B146" s="31">
        <f>143964.8-295856.6</f>
        <v>-151891.79999999999</v>
      </c>
      <c r="C146" s="31">
        <f>131114.5-221742.4</f>
        <v>-90627.9</v>
      </c>
      <c r="D146" s="31" t="s">
        <v>2</v>
      </c>
      <c r="E146" s="30">
        <f t="shared" si="29"/>
        <v>-242519.69999999998</v>
      </c>
      <c r="F146" s="31">
        <v>0</v>
      </c>
      <c r="G146" s="31">
        <f>44613+1152737.1+15106</f>
        <v>1212456.1000000001</v>
      </c>
      <c r="H146" s="31"/>
      <c r="I146" s="31">
        <v>59369.600000000006</v>
      </c>
      <c r="J146" s="31">
        <v>30652.7</v>
      </c>
      <c r="K146" s="31">
        <v>728838.8</v>
      </c>
      <c r="L146" s="32">
        <f t="shared" si="30"/>
        <v>2031317.2000000002</v>
      </c>
      <c r="M146" s="31">
        <v>467552.1</v>
      </c>
      <c r="N146" s="30">
        <v>76766.3</v>
      </c>
      <c r="O146" s="32">
        <f t="shared" si="22"/>
        <v>1486998.8</v>
      </c>
      <c r="P146" s="37">
        <f>19534+101.6</f>
        <v>19635.599999999999</v>
      </c>
      <c r="Q146" s="32">
        <v>1127544.6666666665</v>
      </c>
      <c r="R146" s="32">
        <v>6755.2</v>
      </c>
      <c r="S146" s="30">
        <f t="shared" si="28"/>
        <v>1153935.4666666666</v>
      </c>
      <c r="T146" s="34">
        <f t="shared" si="24"/>
        <v>2640934.2666666666</v>
      </c>
      <c r="U146" s="30">
        <f t="shared" si="25"/>
        <v>2398414.5666666664</v>
      </c>
    </row>
    <row r="147" spans="1:21" s="36" customFormat="1" ht="15.75">
      <c r="A147" s="42">
        <v>43738</v>
      </c>
      <c r="B147" s="31">
        <f>152229.3-295964.1</f>
        <v>-143734.79999999999</v>
      </c>
      <c r="C147" s="31">
        <f>139248.5-223096</f>
        <v>-83847.5</v>
      </c>
      <c r="D147" s="31" t="s">
        <v>2</v>
      </c>
      <c r="E147" s="30">
        <f t="shared" si="29"/>
        <v>-227582.3</v>
      </c>
      <c r="F147" s="31">
        <v>0</v>
      </c>
      <c r="G147" s="31">
        <f>52783.1+1160384.5+28225</f>
        <v>1241392.6000000001</v>
      </c>
      <c r="H147" s="31"/>
      <c r="I147" s="31">
        <v>65322.7</v>
      </c>
      <c r="J147" s="31">
        <v>29259.4</v>
      </c>
      <c r="K147" s="31">
        <v>727629.7</v>
      </c>
      <c r="L147" s="32">
        <f t="shared" si="30"/>
        <v>2063604.4</v>
      </c>
      <c r="M147" s="31">
        <v>478795.5</v>
      </c>
      <c r="N147" s="30">
        <v>82107.899999999994</v>
      </c>
      <c r="O147" s="32">
        <f t="shared" si="22"/>
        <v>1502701</v>
      </c>
      <c r="P147" s="37">
        <f>25516+101.6</f>
        <v>25617.599999999999</v>
      </c>
      <c r="Q147" s="32">
        <f>1098721+4652.3+44030.8</f>
        <v>1147404.1000000001</v>
      </c>
      <c r="R147" s="32">
        <v>6686.4</v>
      </c>
      <c r="S147" s="30">
        <f t="shared" si="28"/>
        <v>1179708.1000000001</v>
      </c>
      <c r="T147" s="34">
        <f t="shared" si="24"/>
        <v>2682409.1</v>
      </c>
      <c r="U147" s="30">
        <f t="shared" si="25"/>
        <v>2454826.8000000003</v>
      </c>
    </row>
    <row r="148" spans="1:21" s="36" customFormat="1" ht="15.75">
      <c r="A148" s="42">
        <v>43769</v>
      </c>
      <c r="B148" s="31">
        <f>139379.6-293793.8</f>
        <v>-154414.19999999998</v>
      </c>
      <c r="C148" s="31">
        <f>134768.5-216587.2</f>
        <v>-81818.700000000012</v>
      </c>
      <c r="D148" s="31" t="s">
        <v>2</v>
      </c>
      <c r="E148" s="30">
        <f t="shared" si="29"/>
        <v>-236232.9</v>
      </c>
      <c r="F148" s="31">
        <v>0</v>
      </c>
      <c r="G148" s="31">
        <f>53363+1194779.6+32675</f>
        <v>1280817.6000000001</v>
      </c>
      <c r="H148" s="31"/>
      <c r="I148" s="31">
        <v>76553.5</v>
      </c>
      <c r="J148" s="31">
        <v>26472.7</v>
      </c>
      <c r="K148" s="31">
        <v>725211.5</v>
      </c>
      <c r="L148" s="32">
        <f t="shared" si="30"/>
        <v>2109055.2999999998</v>
      </c>
      <c r="M148" s="31">
        <v>498832</v>
      </c>
      <c r="N148" s="30">
        <v>93562</v>
      </c>
      <c r="O148" s="32">
        <f t="shared" si="22"/>
        <v>1516661.2999999998</v>
      </c>
      <c r="P148" s="37">
        <f>25102.5+101.6</f>
        <v>25204.1</v>
      </c>
      <c r="Q148" s="32">
        <v>1169942.3999999999</v>
      </c>
      <c r="R148" s="32">
        <v>547.9</v>
      </c>
      <c r="S148" s="30">
        <f t="shared" si="28"/>
        <v>1195694.3999999999</v>
      </c>
      <c r="T148" s="34">
        <f t="shared" si="24"/>
        <v>2712355.6999999997</v>
      </c>
      <c r="U148" s="30">
        <f t="shared" si="25"/>
        <v>2476122.7999999998</v>
      </c>
    </row>
    <row r="149" spans="1:21" s="36" customFormat="1" ht="15.75">
      <c r="A149" s="42">
        <v>43799</v>
      </c>
      <c r="B149" s="31">
        <f>126892.2-290211.4</f>
        <v>-163319.20000000001</v>
      </c>
      <c r="C149" s="31">
        <f>127575.1-218706.9</f>
        <v>-91131.799999999988</v>
      </c>
      <c r="D149" s="31" t="s">
        <v>2</v>
      </c>
      <c r="E149" s="30">
        <f t="shared" si="29"/>
        <v>-254451</v>
      </c>
      <c r="F149" s="31">
        <v>0</v>
      </c>
      <c r="G149" s="31">
        <v>1313894.1000000001</v>
      </c>
      <c r="H149" s="31"/>
      <c r="I149" s="31">
        <v>74319.900000000009</v>
      </c>
      <c r="J149" s="31">
        <v>25079.5</v>
      </c>
      <c r="K149" s="31">
        <v>724002.3</v>
      </c>
      <c r="L149" s="32">
        <f t="shared" si="30"/>
        <v>2137295.7999999998</v>
      </c>
      <c r="M149" s="31">
        <v>490631.8</v>
      </c>
      <c r="N149" s="30">
        <v>94982.5</v>
      </c>
      <c r="O149" s="32">
        <f t="shared" si="22"/>
        <v>1551681.4999999998</v>
      </c>
      <c r="P149" s="37">
        <f>25813.2+101.6</f>
        <v>25914.799999999999</v>
      </c>
      <c r="Q149" s="32">
        <v>1198880.2</v>
      </c>
      <c r="R149" s="32">
        <v>496</v>
      </c>
      <c r="S149" s="30">
        <f t="shared" si="28"/>
        <v>1225291</v>
      </c>
      <c r="T149" s="34">
        <f t="shared" si="24"/>
        <v>2776972.5</v>
      </c>
      <c r="U149" s="30">
        <f t="shared" si="25"/>
        <v>2522521.5</v>
      </c>
    </row>
    <row r="150" spans="1:21" s="36" customFormat="1" ht="15.75">
      <c r="A150" s="42">
        <v>43830</v>
      </c>
      <c r="B150" s="31">
        <v>-129390.7</v>
      </c>
      <c r="C150" s="31">
        <v>-76949.600000000006</v>
      </c>
      <c r="D150" s="31" t="s">
        <v>2</v>
      </c>
      <c r="E150" s="30">
        <f t="shared" si="29"/>
        <v>-206340.3</v>
      </c>
      <c r="F150" s="31">
        <v>0</v>
      </c>
      <c r="G150" s="31">
        <v>1341367.1000000001</v>
      </c>
      <c r="H150" s="31"/>
      <c r="I150" s="31">
        <v>70919.799999999988</v>
      </c>
      <c r="J150" s="31">
        <v>23686.2</v>
      </c>
      <c r="K150" s="31">
        <v>722793.2</v>
      </c>
      <c r="L150" s="32">
        <f t="shared" si="30"/>
        <v>2158766.2999999998</v>
      </c>
      <c r="M150" s="31">
        <v>443910.5</v>
      </c>
      <c r="N150" s="30">
        <v>95938.2</v>
      </c>
      <c r="O150" s="32">
        <f t="shared" si="22"/>
        <v>1618917.5999999999</v>
      </c>
      <c r="P150" s="37">
        <f>42076.6+101.6</f>
        <v>42178.2</v>
      </c>
      <c r="Q150" s="32">
        <v>1166031.0000000002</v>
      </c>
      <c r="R150" s="32">
        <v>458.5</v>
      </c>
      <c r="S150" s="30">
        <f t="shared" si="28"/>
        <v>1208667.7000000002</v>
      </c>
      <c r="T150" s="34">
        <f t="shared" si="24"/>
        <v>2827585.3</v>
      </c>
      <c r="U150" s="30">
        <f t="shared" si="25"/>
        <v>2621245</v>
      </c>
    </row>
    <row r="151" spans="1:21" s="36" customFormat="1" ht="15.75">
      <c r="A151" s="42">
        <v>43861</v>
      </c>
      <c r="B151" s="31">
        <v>-173480.90000000002</v>
      </c>
      <c r="C151" s="31">
        <f>137465.3-279253.2</f>
        <v>-141787.90000000002</v>
      </c>
      <c r="D151" s="31" t="s">
        <v>2</v>
      </c>
      <c r="E151" s="30">
        <f t="shared" si="29"/>
        <v>-315268.80000000005</v>
      </c>
      <c r="F151" s="31">
        <v>0</v>
      </c>
      <c r="G151" s="31">
        <v>1378830.3</v>
      </c>
      <c r="H151" s="31"/>
      <c r="I151" s="31">
        <f>18559.5+102288.1</f>
        <v>120847.6</v>
      </c>
      <c r="J151" s="31">
        <v>23686.1</v>
      </c>
      <c r="K151" s="31">
        <v>722793.2</v>
      </c>
      <c r="L151" s="32">
        <f t="shared" si="30"/>
        <v>2246157.2000000002</v>
      </c>
      <c r="M151" s="31">
        <v>447113.3</v>
      </c>
      <c r="N151" s="30">
        <v>97728.6</v>
      </c>
      <c r="O151" s="32">
        <f t="shared" si="22"/>
        <v>1701315.3</v>
      </c>
      <c r="P151" s="37">
        <f>37419.8+101.6</f>
        <v>37521.4</v>
      </c>
      <c r="Q151" s="32">
        <v>1196183.8666666667</v>
      </c>
      <c r="R151" s="32">
        <v>370.8</v>
      </c>
      <c r="S151" s="30">
        <f t="shared" si="28"/>
        <v>1234076.0666666667</v>
      </c>
      <c r="T151" s="34">
        <f t="shared" si="24"/>
        <v>2935391.3666666667</v>
      </c>
      <c r="U151" s="30">
        <f t="shared" si="25"/>
        <v>2620122.5666666664</v>
      </c>
    </row>
    <row r="152" spans="1:21" s="36" customFormat="1" ht="15.75">
      <c r="A152" s="42">
        <v>43890</v>
      </c>
      <c r="B152" s="31">
        <f>231895.4-363145.9</f>
        <v>-131250.50000000003</v>
      </c>
      <c r="C152" s="31">
        <f>154904-268234.5</f>
        <v>-113330.5</v>
      </c>
      <c r="D152" s="31" t="s">
        <v>2</v>
      </c>
      <c r="E152" s="30">
        <f t="shared" si="29"/>
        <v>-244581.00000000003</v>
      </c>
      <c r="F152" s="31">
        <v>0</v>
      </c>
      <c r="G152" s="31">
        <v>1386787.3</v>
      </c>
      <c r="H152" s="31"/>
      <c r="I152" s="31">
        <f>18771.6+102880.8</f>
        <v>121652.4</v>
      </c>
      <c r="J152" s="31">
        <v>22292.799999999999</v>
      </c>
      <c r="K152" s="31">
        <v>721584.1</v>
      </c>
      <c r="L152" s="32">
        <f t="shared" si="30"/>
        <v>2252316.6</v>
      </c>
      <c r="M152" s="31">
        <v>456925.6</v>
      </c>
      <c r="N152" s="30">
        <v>96011.1</v>
      </c>
      <c r="O152" s="32">
        <f t="shared" si="22"/>
        <v>1699379.9</v>
      </c>
      <c r="P152" s="37">
        <f>34652.5+101.6</f>
        <v>34754.1</v>
      </c>
      <c r="Q152" s="32">
        <v>1185120.5333333332</v>
      </c>
      <c r="R152" s="32">
        <v>327</v>
      </c>
      <c r="S152" s="30">
        <f t="shared" si="28"/>
        <v>1220201.6333333333</v>
      </c>
      <c r="T152" s="34">
        <f t="shared" si="24"/>
        <v>2919581.5333333332</v>
      </c>
      <c r="U152" s="30">
        <f t="shared" si="25"/>
        <v>2675000.5333333332</v>
      </c>
    </row>
    <row r="153" spans="1:21" s="36" customFormat="1" ht="15.75">
      <c r="A153" s="42">
        <v>43921</v>
      </c>
      <c r="B153" s="31">
        <f>194289.3-361308.8</f>
        <v>-167019.5</v>
      </c>
      <c r="C153" s="31">
        <f>143352.6-261170.6</f>
        <v>-117818</v>
      </c>
      <c r="D153" s="31" t="s">
        <v>2</v>
      </c>
      <c r="E153" s="30">
        <f t="shared" si="29"/>
        <v>-284837.5</v>
      </c>
      <c r="F153" s="31">
        <v>0</v>
      </c>
      <c r="G153" s="31">
        <v>1381408.1999999997</v>
      </c>
      <c r="H153" s="31"/>
      <c r="I153" s="31">
        <f>20393+103560.4</f>
        <v>123953.4</v>
      </c>
      <c r="J153" s="31">
        <v>19506.2</v>
      </c>
      <c r="K153" s="31">
        <v>719165.8</v>
      </c>
      <c r="L153" s="32">
        <f t="shared" si="30"/>
        <v>2244033.5999999996</v>
      </c>
      <c r="M153" s="31">
        <v>503862</v>
      </c>
      <c r="N153" s="30">
        <v>77027.199999999997</v>
      </c>
      <c r="O153" s="32">
        <f t="shared" si="22"/>
        <v>1663144.3999999997</v>
      </c>
      <c r="P153" s="37">
        <f>32138.3+101.6</f>
        <v>32239.899999999998</v>
      </c>
      <c r="Q153" s="32">
        <v>1212703.5999999999</v>
      </c>
      <c r="R153" s="32">
        <v>342.2</v>
      </c>
      <c r="S153" s="30">
        <f t="shared" si="28"/>
        <v>1245285.6999999997</v>
      </c>
      <c r="T153" s="34">
        <f t="shared" si="24"/>
        <v>2908430.0999999996</v>
      </c>
      <c r="U153" s="30">
        <f t="shared" si="25"/>
        <v>2623592.5999999996</v>
      </c>
    </row>
    <row r="154" spans="1:21" s="36" customFormat="1" ht="15.75">
      <c r="A154" s="42">
        <v>43951</v>
      </c>
      <c r="B154" s="31">
        <f>182570.8-361783</f>
        <v>-179212.2</v>
      </c>
      <c r="C154" s="31">
        <f>139173-266161.9</f>
        <v>-126988.90000000002</v>
      </c>
      <c r="D154" s="31" t="s">
        <v>2</v>
      </c>
      <c r="E154" s="30">
        <f t="shared" si="29"/>
        <v>-306201.10000000003</v>
      </c>
      <c r="F154" s="31">
        <v>0</v>
      </c>
      <c r="G154" s="31">
        <v>1385180.4000000001</v>
      </c>
      <c r="H154" s="31"/>
      <c r="I154" s="31">
        <f>16512.8+104228.7</f>
        <v>120741.5</v>
      </c>
      <c r="J154" s="31">
        <v>18112.900000000001</v>
      </c>
      <c r="K154" s="31">
        <v>717956.7</v>
      </c>
      <c r="L154" s="32">
        <f t="shared" si="30"/>
        <v>2241991.5</v>
      </c>
      <c r="M154" s="31">
        <v>464273.2</v>
      </c>
      <c r="N154" s="30">
        <v>73644.3</v>
      </c>
      <c r="O154" s="32">
        <f t="shared" si="22"/>
        <v>1704074</v>
      </c>
      <c r="P154" s="37">
        <f>33552.3+101.6</f>
        <v>33653.9</v>
      </c>
      <c r="Q154" s="32">
        <v>1214945.9000000001</v>
      </c>
      <c r="R154" s="32">
        <v>357.29999999999995</v>
      </c>
      <c r="S154" s="30">
        <f t="shared" si="28"/>
        <v>1248957.1000000001</v>
      </c>
      <c r="T154" s="34">
        <f t="shared" si="24"/>
        <v>2953031.1</v>
      </c>
      <c r="U154" s="30">
        <f t="shared" si="25"/>
        <v>2646830</v>
      </c>
    </row>
    <row r="155" spans="1:21" s="36" customFormat="1" ht="15.75">
      <c r="A155" s="42">
        <v>43982</v>
      </c>
      <c r="B155" s="31">
        <f>172039.8-357937.1</f>
        <v>-185897.3</v>
      </c>
      <c r="C155" s="31">
        <f>130855.2-285542.3</f>
        <v>-154687.09999999998</v>
      </c>
      <c r="D155" s="31" t="s">
        <v>2</v>
      </c>
      <c r="E155" s="30">
        <f t="shared" si="29"/>
        <v>-340584.39999999997</v>
      </c>
      <c r="F155" s="31">
        <v>0</v>
      </c>
      <c r="G155" s="31">
        <v>1411011.9000000004</v>
      </c>
      <c r="H155" s="31"/>
      <c r="I155" s="31">
        <f>15846.7+97709.7+1852.2</f>
        <v>115408.59999999999</v>
      </c>
      <c r="J155" s="31">
        <v>18112.900000000001</v>
      </c>
      <c r="K155" s="31">
        <v>717956.7</v>
      </c>
      <c r="L155" s="32">
        <f t="shared" si="30"/>
        <v>2262490.1000000006</v>
      </c>
      <c r="M155" s="31">
        <v>499649.2</v>
      </c>
      <c r="N155" s="30">
        <v>75206.899999999994</v>
      </c>
      <c r="O155" s="32">
        <f t="shared" si="22"/>
        <v>1687634.0000000007</v>
      </c>
      <c r="P155" s="37">
        <f>30459.2+101.6</f>
        <v>30560.799999999999</v>
      </c>
      <c r="Q155" s="32">
        <v>1282984.5000000002</v>
      </c>
      <c r="R155" s="32">
        <v>552.5</v>
      </c>
      <c r="S155" s="30">
        <f t="shared" si="28"/>
        <v>1314097.8000000003</v>
      </c>
      <c r="T155" s="34">
        <f t="shared" si="24"/>
        <v>3001731.8000000007</v>
      </c>
      <c r="U155" s="30">
        <f t="shared" si="25"/>
        <v>2661147.4000000008</v>
      </c>
    </row>
    <row r="156" spans="1:21" s="36" customFormat="1" ht="15.75">
      <c r="A156" s="42">
        <v>44012</v>
      </c>
      <c r="B156" s="31">
        <f>172739-357357.6</f>
        <v>-184618.59999999998</v>
      </c>
      <c r="C156" s="31">
        <f>128564.4-277077.4</f>
        <v>-148513.00000000003</v>
      </c>
      <c r="D156" s="31" t="s">
        <v>2</v>
      </c>
      <c r="E156" s="30">
        <f t="shared" si="29"/>
        <v>-333131.59999999998</v>
      </c>
      <c r="F156" s="31">
        <v>0</v>
      </c>
      <c r="G156" s="31">
        <v>1468858.5</v>
      </c>
      <c r="H156" s="31"/>
      <c r="I156" s="31">
        <f>16243.7+98487+5357.5</f>
        <v>120088.2</v>
      </c>
      <c r="J156" s="31">
        <v>15326.3</v>
      </c>
      <c r="K156" s="31">
        <v>715538.4</v>
      </c>
      <c r="L156" s="32">
        <f t="shared" si="30"/>
        <v>2319811.4</v>
      </c>
      <c r="M156" s="31">
        <v>441278.2</v>
      </c>
      <c r="N156" s="30">
        <v>86594.1</v>
      </c>
      <c r="O156" s="32">
        <f t="shared" si="22"/>
        <v>1791939.0999999999</v>
      </c>
      <c r="P156" s="37">
        <f>29576.4+101.6</f>
        <v>29678</v>
      </c>
      <c r="Q156" s="32">
        <v>1283209.7000000002</v>
      </c>
      <c r="R156" s="32">
        <v>328.2</v>
      </c>
      <c r="S156" s="30">
        <f t="shared" si="28"/>
        <v>1313215.9000000001</v>
      </c>
      <c r="T156" s="34">
        <f t="shared" si="24"/>
        <v>3105155</v>
      </c>
      <c r="U156" s="30">
        <f t="shared" si="25"/>
        <v>2772023.4</v>
      </c>
    </row>
    <row r="157" spans="1:21" s="36" customFormat="1" ht="15.75">
      <c r="A157" s="42">
        <v>44043</v>
      </c>
      <c r="B157" s="31">
        <v>-149908.6</v>
      </c>
      <c r="C157" s="31">
        <f>131329.1-279283.7</f>
        <v>-147954.6</v>
      </c>
      <c r="D157" s="31" t="s">
        <v>2</v>
      </c>
      <c r="E157" s="30">
        <f t="shared" ref="E157:E161" si="31">+SUM(B157:D157)</f>
        <v>-297863.2</v>
      </c>
      <c r="F157" s="31">
        <v>0</v>
      </c>
      <c r="G157" s="31">
        <v>1499652.7000000002</v>
      </c>
      <c r="H157" s="31"/>
      <c r="I157" s="31">
        <f>21529.8+97665+9362.2</f>
        <v>128557</v>
      </c>
      <c r="J157" s="31">
        <v>13933</v>
      </c>
      <c r="K157" s="31">
        <v>714329.3</v>
      </c>
      <c r="L157" s="32">
        <f t="shared" ref="L157:L161" si="32">+SUM(F157:K157)</f>
        <v>2356472</v>
      </c>
      <c r="M157" s="31">
        <v>505064.03333333298</v>
      </c>
      <c r="N157" s="30">
        <v>87632.4</v>
      </c>
      <c r="O157" s="32">
        <f t="shared" si="22"/>
        <v>1763775.5666666671</v>
      </c>
      <c r="P157" s="37">
        <f>27282+101.6</f>
        <v>27383.599999999999</v>
      </c>
      <c r="Q157" s="32">
        <v>1345297.1666666667</v>
      </c>
      <c r="R157" s="32">
        <v>226.5</v>
      </c>
      <c r="S157" s="30">
        <f t="shared" si="28"/>
        <v>1372907.2666666668</v>
      </c>
      <c r="T157" s="34">
        <f t="shared" si="24"/>
        <v>3136682.833333334</v>
      </c>
      <c r="U157" s="30">
        <f t="shared" si="25"/>
        <v>2838819.6333333338</v>
      </c>
    </row>
    <row r="158" spans="1:21" s="36" customFormat="1" ht="15.75">
      <c r="A158" s="42">
        <v>44074</v>
      </c>
      <c r="B158" s="31">
        <v>-138097.49999999997</v>
      </c>
      <c r="C158" s="31">
        <f>142771.3-263229.3</f>
        <v>-120458</v>
      </c>
      <c r="D158" s="31" t="s">
        <v>2</v>
      </c>
      <c r="E158" s="30">
        <f t="shared" si="31"/>
        <v>-258555.49999999997</v>
      </c>
      <c r="F158" s="31">
        <v>0</v>
      </c>
      <c r="G158" s="31">
        <v>1520939.2</v>
      </c>
      <c r="H158" s="31"/>
      <c r="I158" s="31">
        <f>13546.8+98547.5+23833.1</f>
        <v>135927.4</v>
      </c>
      <c r="J158" s="31">
        <v>13933</v>
      </c>
      <c r="K158" s="31">
        <v>713689.4</v>
      </c>
      <c r="L158" s="32">
        <f t="shared" si="32"/>
        <v>2384489</v>
      </c>
      <c r="M158" s="31">
        <v>552860.86666666705</v>
      </c>
      <c r="N158" s="30">
        <v>88159.1</v>
      </c>
      <c r="O158" s="32">
        <f t="shared" si="22"/>
        <v>1743469.0333333327</v>
      </c>
      <c r="P158" s="37">
        <v>27779.7</v>
      </c>
      <c r="Q158" s="32">
        <v>1379773.4333333333</v>
      </c>
      <c r="R158" s="32">
        <v>305.60000000000002</v>
      </c>
      <c r="S158" s="30">
        <f t="shared" si="28"/>
        <v>1407858.7333333334</v>
      </c>
      <c r="T158" s="34">
        <f t="shared" si="24"/>
        <v>3151327.7666666661</v>
      </c>
      <c r="U158" s="30">
        <f t="shared" si="25"/>
        <v>2892772.2666666661</v>
      </c>
    </row>
    <row r="159" spans="1:21" s="36" customFormat="1" ht="15.75">
      <c r="A159" s="42">
        <v>44104</v>
      </c>
      <c r="B159" s="31">
        <v>-151024.20000000001</v>
      </c>
      <c r="C159" s="31">
        <v>-128888.4</v>
      </c>
      <c r="D159" s="31" t="s">
        <v>2</v>
      </c>
      <c r="E159" s="30">
        <f t="shared" si="31"/>
        <v>-279912.59999999998</v>
      </c>
      <c r="F159" s="31">
        <v>0</v>
      </c>
      <c r="G159" s="31">
        <v>1539157.4000000001</v>
      </c>
      <c r="H159" s="31"/>
      <c r="I159" s="31">
        <f>19611.4+25822.8+124981.5+150000</f>
        <v>320415.7</v>
      </c>
      <c r="J159" s="31">
        <v>12539.7</v>
      </c>
      <c r="K159" s="31">
        <v>713120.2</v>
      </c>
      <c r="L159" s="32">
        <f t="shared" si="32"/>
        <v>2585233</v>
      </c>
      <c r="M159" s="31">
        <v>485147.2</v>
      </c>
      <c r="N159" s="30">
        <v>76753.3</v>
      </c>
      <c r="O159" s="32">
        <f t="shared" si="22"/>
        <v>2023332.4999999998</v>
      </c>
      <c r="P159" s="37">
        <f>30626.8+101.6</f>
        <v>30728.399999999998</v>
      </c>
      <c r="Q159" s="32">
        <v>1349647.4</v>
      </c>
      <c r="R159" s="32">
        <v>311</v>
      </c>
      <c r="S159" s="30">
        <f t="shared" si="28"/>
        <v>1380686.7999999998</v>
      </c>
      <c r="T159" s="34">
        <f t="shared" si="24"/>
        <v>3404019.3</v>
      </c>
      <c r="U159" s="30">
        <f t="shared" si="25"/>
        <v>3124106.6999999997</v>
      </c>
    </row>
    <row r="160" spans="1:21" s="36" customFormat="1" ht="15.75">
      <c r="A160" s="42">
        <v>44135</v>
      </c>
      <c r="B160" s="31">
        <v>-148193.19999999998</v>
      </c>
      <c r="C160" s="31">
        <v>-130928.60000000006</v>
      </c>
      <c r="D160" s="31" t="s">
        <v>2</v>
      </c>
      <c r="E160" s="30">
        <f t="shared" si="31"/>
        <v>-279121.80000000005</v>
      </c>
      <c r="F160" s="31">
        <v>0</v>
      </c>
      <c r="G160" s="31">
        <v>1561990.2</v>
      </c>
      <c r="H160" s="31"/>
      <c r="I160" s="31">
        <f>16167.2+26917.5+125477.3+150000+2000</f>
        <v>320562</v>
      </c>
      <c r="J160" s="31">
        <v>11146.4</v>
      </c>
      <c r="K160" s="31">
        <v>711911</v>
      </c>
      <c r="L160" s="32">
        <f t="shared" si="32"/>
        <v>2605609.5999999996</v>
      </c>
      <c r="M160" s="31">
        <v>516006.42063433299</v>
      </c>
      <c r="N160" s="30">
        <v>89546.6</v>
      </c>
      <c r="O160" s="32">
        <f t="shared" si="22"/>
        <v>2000056.5793656665</v>
      </c>
      <c r="P160" s="37">
        <f>27890.7+101.6</f>
        <v>27992.3</v>
      </c>
      <c r="Q160" s="32">
        <v>1358310.4333333336</v>
      </c>
      <c r="R160" s="32">
        <v>1236.8000000000002</v>
      </c>
      <c r="S160" s="30">
        <f t="shared" si="28"/>
        <v>1387539.5333333337</v>
      </c>
      <c r="T160" s="34">
        <f t="shared" si="24"/>
        <v>3387596.1126990002</v>
      </c>
      <c r="U160" s="30">
        <f t="shared" si="25"/>
        <v>3108474.3126990004</v>
      </c>
    </row>
    <row r="161" spans="1:21" s="36" customFormat="1" ht="15.75">
      <c r="A161" s="42">
        <v>44165</v>
      </c>
      <c r="B161" s="31">
        <v>-138961.59999999998</v>
      </c>
      <c r="C161" s="31">
        <v>-142835.59999999995</v>
      </c>
      <c r="D161" s="31" t="s">
        <v>2</v>
      </c>
      <c r="E161" s="30">
        <f t="shared" si="31"/>
        <v>-281797.19999999995</v>
      </c>
      <c r="F161" s="31">
        <v>0</v>
      </c>
      <c r="G161" s="31">
        <v>1576490.1</v>
      </c>
      <c r="H161" s="31"/>
      <c r="I161" s="31">
        <f>25646.7+26994.4+119336.2+150000+2000</f>
        <v>323977.3</v>
      </c>
      <c r="J161" s="31">
        <v>9753.1</v>
      </c>
      <c r="K161" s="31">
        <v>710701.89999999991</v>
      </c>
      <c r="L161" s="32">
        <f t="shared" si="32"/>
        <v>2620922.4000000004</v>
      </c>
      <c r="M161" s="31">
        <v>528193.41095966694</v>
      </c>
      <c r="N161" s="30">
        <v>78500.7</v>
      </c>
      <c r="O161" s="32">
        <f t="shared" si="22"/>
        <v>2014228.2890403334</v>
      </c>
      <c r="P161" s="37">
        <f>23229.4+101.6</f>
        <v>23331</v>
      </c>
      <c r="Q161" s="32">
        <v>1385259.8666666667</v>
      </c>
      <c r="R161" s="32">
        <v>1196.1000000000001</v>
      </c>
      <c r="S161" s="30">
        <f t="shared" si="28"/>
        <v>1409786.9666666668</v>
      </c>
      <c r="T161" s="34">
        <f t="shared" si="24"/>
        <v>3424015.2557070004</v>
      </c>
      <c r="U161" s="30">
        <f>SUM(E161,T161)</f>
        <v>3142218.0557070002</v>
      </c>
    </row>
    <row r="162" spans="1:21" s="36" customFormat="1" ht="15.75">
      <c r="A162" s="42">
        <v>44196</v>
      </c>
      <c r="B162" s="31">
        <v>-93105.300000000017</v>
      </c>
      <c r="C162" s="31">
        <v>-111910.80000000002</v>
      </c>
      <c r="D162" s="31" t="s">
        <v>2</v>
      </c>
      <c r="E162" s="30">
        <f t="shared" ref="E162:E186" si="33">+SUM(B162:D162)</f>
        <v>-205016.10000000003</v>
      </c>
      <c r="F162" s="31">
        <v>0</v>
      </c>
      <c r="G162" s="31">
        <v>1614167.6</v>
      </c>
      <c r="H162" s="31"/>
      <c r="I162" s="31">
        <f>18210.4+27463+120782.7+150000+2000</f>
        <v>318456.09999999998</v>
      </c>
      <c r="J162" s="31">
        <v>6921.2</v>
      </c>
      <c r="K162" s="31">
        <v>708283.6</v>
      </c>
      <c r="L162" s="32">
        <f t="shared" ref="L162:L186" si="34">+SUM(F162:K162)</f>
        <v>2647828.5</v>
      </c>
      <c r="M162" s="31">
        <v>549158.91651699995</v>
      </c>
      <c r="N162" s="30">
        <v>72918.899999999994</v>
      </c>
      <c r="O162" s="32">
        <f t="shared" si="22"/>
        <v>2025750.6834830004</v>
      </c>
      <c r="P162" s="37">
        <f>22343.7+101.6</f>
        <v>22445.3</v>
      </c>
      <c r="Q162" s="32">
        <v>1413651.5</v>
      </c>
      <c r="R162" s="32">
        <v>1185.1999999999998</v>
      </c>
      <c r="S162" s="30">
        <f t="shared" si="28"/>
        <v>1437282</v>
      </c>
      <c r="T162" s="34">
        <f t="shared" si="24"/>
        <v>3463032.6834830004</v>
      </c>
      <c r="U162" s="30">
        <f>SUM(E162,T162)</f>
        <v>3258016.5834830003</v>
      </c>
    </row>
    <row r="163" spans="1:21" s="36" customFormat="1" ht="15.75">
      <c r="A163" s="42">
        <v>44227</v>
      </c>
      <c r="B163" s="31">
        <v>-100769.59999999998</v>
      </c>
      <c r="C163" s="31">
        <v>-118502.9</v>
      </c>
      <c r="D163" s="31">
        <v>-27.233333333333334</v>
      </c>
      <c r="E163" s="30">
        <f t="shared" si="33"/>
        <v>-219299.73333333331</v>
      </c>
      <c r="F163" s="31">
        <v>0</v>
      </c>
      <c r="G163" s="31">
        <v>1630156.1</v>
      </c>
      <c r="H163" s="31"/>
      <c r="I163" s="31">
        <v>322809.2</v>
      </c>
      <c r="J163" s="31">
        <v>6921.2</v>
      </c>
      <c r="K163" s="31">
        <v>708283.6</v>
      </c>
      <c r="L163" s="32">
        <f t="shared" si="34"/>
        <v>2668170.1</v>
      </c>
      <c r="M163" s="31">
        <v>562252.57774199999</v>
      </c>
      <c r="N163" s="30">
        <v>84343.1</v>
      </c>
      <c r="O163" s="32">
        <f t="shared" si="22"/>
        <v>2021574.4222579999</v>
      </c>
      <c r="P163" s="37">
        <v>28289.699999999997</v>
      </c>
      <c r="Q163" s="32">
        <v>1440450.8000000003</v>
      </c>
      <c r="R163" s="32">
        <v>1063.0999999999999</v>
      </c>
      <c r="S163" s="30">
        <f t="shared" si="28"/>
        <v>1469803.6000000003</v>
      </c>
      <c r="T163" s="34">
        <f t="shared" si="24"/>
        <v>3491378.0222580004</v>
      </c>
      <c r="U163" s="30">
        <f t="shared" ref="U163:U201" si="35">SUM(E163,T163)</f>
        <v>3272078.2889246671</v>
      </c>
    </row>
    <row r="164" spans="1:21" s="36" customFormat="1" ht="15.75">
      <c r="A164" s="42">
        <v>44255</v>
      </c>
      <c r="B164" s="31">
        <v>-94851.999999999971</v>
      </c>
      <c r="C164" s="31">
        <v>-94494.800000000047</v>
      </c>
      <c r="D164" s="31">
        <v>-54.466666666666669</v>
      </c>
      <c r="E164" s="30">
        <f t="shared" si="33"/>
        <v>-189401.26666666669</v>
      </c>
      <c r="F164" s="31">
        <v>0</v>
      </c>
      <c r="G164" s="31">
        <v>1650991.0999999999</v>
      </c>
      <c r="H164" s="31"/>
      <c r="I164" s="31">
        <v>353692.5</v>
      </c>
      <c r="J164" s="31">
        <v>5527.9</v>
      </c>
      <c r="K164" s="31">
        <v>704458.1</v>
      </c>
      <c r="L164" s="32">
        <f t="shared" si="34"/>
        <v>2714669.5999999996</v>
      </c>
      <c r="M164" s="31">
        <v>617816.80289299996</v>
      </c>
      <c r="N164" s="30">
        <v>74764.100000000006</v>
      </c>
      <c r="O164" s="32">
        <f t="shared" si="22"/>
        <v>2022088.6971069996</v>
      </c>
      <c r="P164" s="37">
        <v>26351.899999999998</v>
      </c>
      <c r="Q164" s="32">
        <v>1473856.5</v>
      </c>
      <c r="R164" s="32">
        <v>1036.3</v>
      </c>
      <c r="S164" s="30">
        <f t="shared" si="28"/>
        <v>1501244.7</v>
      </c>
      <c r="T164" s="34">
        <f t="shared" si="24"/>
        <v>3523333.3971069995</v>
      </c>
      <c r="U164" s="30">
        <f t="shared" si="35"/>
        <v>3333932.1304403329</v>
      </c>
    </row>
    <row r="165" spans="1:21" s="36" customFormat="1" ht="15.75">
      <c r="A165" s="42">
        <v>44286</v>
      </c>
      <c r="B165" s="31">
        <v>-119123.90000000002</v>
      </c>
      <c r="C165" s="31">
        <v>-108593.39999999997</v>
      </c>
      <c r="D165" s="31">
        <v>-81.7</v>
      </c>
      <c r="E165" s="30">
        <f t="shared" si="33"/>
        <v>-227799</v>
      </c>
      <c r="F165" s="31">
        <v>0</v>
      </c>
      <c r="G165" s="31">
        <v>1648781.3</v>
      </c>
      <c r="H165" s="31"/>
      <c r="I165" s="31">
        <v>328747.7</v>
      </c>
      <c r="J165" s="31">
        <v>4134.6000000000004</v>
      </c>
      <c r="K165" s="31">
        <v>703262.9</v>
      </c>
      <c r="L165" s="32">
        <f t="shared" si="34"/>
        <v>2684926.5</v>
      </c>
      <c r="M165" s="31">
        <v>570127</v>
      </c>
      <c r="N165" s="30">
        <v>79893.7</v>
      </c>
      <c r="O165" s="32">
        <f t="shared" si="22"/>
        <v>2034905.8</v>
      </c>
      <c r="P165" s="37">
        <v>24688.199999999997</v>
      </c>
      <c r="Q165" s="32">
        <v>1524807.0000000002</v>
      </c>
      <c r="R165" s="32">
        <v>734.60000000000014</v>
      </c>
      <c r="S165" s="30">
        <f t="shared" si="28"/>
        <v>1550229.8000000003</v>
      </c>
      <c r="T165" s="34">
        <f t="shared" si="24"/>
        <v>3585135.6000000006</v>
      </c>
      <c r="U165" s="30">
        <f t="shared" si="35"/>
        <v>3357336.6000000006</v>
      </c>
    </row>
    <row r="166" spans="1:21" s="36" customFormat="1" ht="15.75">
      <c r="A166" s="42">
        <v>44316</v>
      </c>
      <c r="B166" s="31">
        <v>-105226.09999999998</v>
      </c>
      <c r="C166" s="31">
        <v>-143518.30000000002</v>
      </c>
      <c r="D166" s="31">
        <v>-93.8</v>
      </c>
      <c r="E166" s="30">
        <f t="shared" si="33"/>
        <v>-248838.19999999998</v>
      </c>
      <c r="F166" s="31">
        <v>0</v>
      </c>
      <c r="G166" s="31">
        <v>1666160.8</v>
      </c>
      <c r="H166" s="31"/>
      <c r="I166" s="31">
        <v>351318.8</v>
      </c>
      <c r="J166" s="31">
        <v>2741.3</v>
      </c>
      <c r="K166" s="31">
        <v>702954.8</v>
      </c>
      <c r="L166" s="32">
        <f t="shared" si="34"/>
        <v>2723175.7</v>
      </c>
      <c r="M166" s="31">
        <v>605863.23333333305</v>
      </c>
      <c r="N166" s="30">
        <v>103216.1</v>
      </c>
      <c r="O166" s="32">
        <f t="shared" si="22"/>
        <v>2014096.3666666672</v>
      </c>
      <c r="P166" s="37">
        <v>23401.3</v>
      </c>
      <c r="Q166" s="32">
        <v>1552846.0999999996</v>
      </c>
      <c r="R166" s="32">
        <v>596.59999999999991</v>
      </c>
      <c r="S166" s="30">
        <f t="shared" si="28"/>
        <v>1576843.9999999998</v>
      </c>
      <c r="T166" s="34">
        <f t="shared" si="24"/>
        <v>3590940.3666666672</v>
      </c>
      <c r="U166" s="30">
        <f t="shared" si="35"/>
        <v>3342102.166666667</v>
      </c>
    </row>
    <row r="167" spans="1:21" s="36" customFormat="1" ht="15.75">
      <c r="A167" s="42">
        <v>44347</v>
      </c>
      <c r="B167" s="31">
        <v>-123599.69999999998</v>
      </c>
      <c r="C167" s="31">
        <v>-148492.4</v>
      </c>
      <c r="D167" s="31">
        <v>-105.9</v>
      </c>
      <c r="E167" s="30">
        <f t="shared" si="33"/>
        <v>-272198</v>
      </c>
      <c r="F167" s="31">
        <v>0</v>
      </c>
      <c r="G167" s="31">
        <v>1691766.9</v>
      </c>
      <c r="H167" s="31"/>
      <c r="I167" s="31">
        <v>342116.6</v>
      </c>
      <c r="J167" s="31">
        <v>0</v>
      </c>
      <c r="K167" s="31">
        <v>702546.1</v>
      </c>
      <c r="L167" s="32">
        <f t="shared" si="34"/>
        <v>2736429.6</v>
      </c>
      <c r="M167" s="31">
        <v>602255.26666666695</v>
      </c>
      <c r="N167" s="30">
        <v>92826.3</v>
      </c>
      <c r="O167" s="32">
        <f t="shared" si="22"/>
        <v>2041348.033333333</v>
      </c>
      <c r="P167" s="37">
        <v>24903.699999999997</v>
      </c>
      <c r="Q167" s="32">
        <v>1616844.9000000004</v>
      </c>
      <c r="R167" s="32">
        <v>5596.7000000000007</v>
      </c>
      <c r="S167" s="30">
        <f t="shared" si="28"/>
        <v>1647345.3000000003</v>
      </c>
      <c r="T167" s="34">
        <f t="shared" si="24"/>
        <v>3688693.333333333</v>
      </c>
      <c r="U167" s="30">
        <f t="shared" si="35"/>
        <v>3416495.333333333</v>
      </c>
    </row>
    <row r="168" spans="1:21" s="36" customFormat="1" ht="15.75">
      <c r="A168" s="42">
        <v>44377</v>
      </c>
      <c r="B168" s="31">
        <v>-114588.4</v>
      </c>
      <c r="C168" s="31">
        <v>-190802.4</v>
      </c>
      <c r="D168" s="31">
        <v>-118</v>
      </c>
      <c r="E168" s="30">
        <f t="shared" si="33"/>
        <v>-305508.8</v>
      </c>
      <c r="F168" s="31">
        <v>57076.7</v>
      </c>
      <c r="G168" s="31">
        <v>1719227.5999999999</v>
      </c>
      <c r="H168" s="31"/>
      <c r="I168" s="31">
        <v>347225.00000000006</v>
      </c>
      <c r="J168" s="31">
        <v>0</v>
      </c>
      <c r="K168" s="31">
        <v>701028.8</v>
      </c>
      <c r="L168" s="32">
        <f t="shared" si="34"/>
        <v>2824558.0999999996</v>
      </c>
      <c r="M168" s="31">
        <v>625806.5</v>
      </c>
      <c r="N168" s="30">
        <v>82601.5</v>
      </c>
      <c r="O168" s="32">
        <f t="shared" si="22"/>
        <v>2116150.0999999996</v>
      </c>
      <c r="P168" s="37">
        <v>26228.6</v>
      </c>
      <c r="Q168" s="32">
        <v>1724195.7</v>
      </c>
      <c r="R168" s="32">
        <v>5539.4</v>
      </c>
      <c r="S168" s="30">
        <f t="shared" si="28"/>
        <v>1755963.7</v>
      </c>
      <c r="T168" s="34">
        <f t="shared" si="24"/>
        <v>3872113.8</v>
      </c>
      <c r="U168" s="30">
        <f t="shared" si="35"/>
        <v>3566605</v>
      </c>
    </row>
    <row r="169" spans="1:21" s="36" customFormat="1" ht="15.75">
      <c r="A169" s="42">
        <v>44408</v>
      </c>
      <c r="B169" s="31">
        <v>-137154.4</v>
      </c>
      <c r="C169" s="31">
        <v>-203220.3</v>
      </c>
      <c r="D169" s="31">
        <v>-148.66666666666666</v>
      </c>
      <c r="E169" s="30">
        <f t="shared" si="33"/>
        <v>-340523.36666666664</v>
      </c>
      <c r="F169" s="31">
        <v>63146.5</v>
      </c>
      <c r="G169" s="31">
        <v>1777924.3</v>
      </c>
      <c r="H169" s="31"/>
      <c r="I169" s="31">
        <v>334942.40000000002</v>
      </c>
      <c r="J169" s="31">
        <v>0</v>
      </c>
      <c r="K169" s="31">
        <v>700389</v>
      </c>
      <c r="L169" s="32">
        <f t="shared" si="34"/>
        <v>2876402.2</v>
      </c>
      <c r="M169" s="31">
        <v>629393.76666666695</v>
      </c>
      <c r="N169" s="30">
        <v>92362.5</v>
      </c>
      <c r="O169" s="32">
        <f t="shared" si="22"/>
        <v>2154645.9333333331</v>
      </c>
      <c r="P169" s="37">
        <v>23518.199999999997</v>
      </c>
      <c r="Q169" s="32">
        <v>1796258.9999999998</v>
      </c>
      <c r="R169" s="32">
        <v>383.9</v>
      </c>
      <c r="S169" s="30">
        <f t="shared" si="28"/>
        <v>1820161.0999999996</v>
      </c>
      <c r="T169" s="34">
        <f t="shared" si="24"/>
        <v>3974807.0333333327</v>
      </c>
      <c r="U169" s="30">
        <f t="shared" si="35"/>
        <v>3634283.666666666</v>
      </c>
    </row>
    <row r="170" spans="1:21" s="36" customFormat="1" ht="15.75">
      <c r="A170" s="42">
        <v>44439</v>
      </c>
      <c r="B170" s="31">
        <v>-140627.90000000002</v>
      </c>
      <c r="C170" s="31">
        <v>-223632.4</v>
      </c>
      <c r="D170" s="31">
        <v>-179.33333333333334</v>
      </c>
      <c r="E170" s="30">
        <f t="shared" si="33"/>
        <v>-364439.63333333336</v>
      </c>
      <c r="F170" s="31">
        <v>33670.800000000003</v>
      </c>
      <c r="G170" s="31">
        <v>1802932.4000000001</v>
      </c>
      <c r="H170" s="31"/>
      <c r="I170" s="31">
        <v>350919.80000000005</v>
      </c>
      <c r="J170" s="31">
        <v>0</v>
      </c>
      <c r="K170" s="31">
        <v>698477.8</v>
      </c>
      <c r="L170" s="32">
        <f t="shared" si="34"/>
        <v>2886000.8</v>
      </c>
      <c r="M170" s="31">
        <v>663897.83333333302</v>
      </c>
      <c r="N170" s="30">
        <v>81429.399999999994</v>
      </c>
      <c r="O170" s="32">
        <f t="shared" si="22"/>
        <v>2140673.5666666669</v>
      </c>
      <c r="P170" s="37">
        <v>25458.699999999997</v>
      </c>
      <c r="Q170" s="32">
        <v>1877007.8</v>
      </c>
      <c r="R170" s="32">
        <v>309.8</v>
      </c>
      <c r="S170" s="30">
        <f t="shared" si="28"/>
        <v>1902776.3</v>
      </c>
      <c r="T170" s="34">
        <f t="shared" si="24"/>
        <v>4043449.8666666672</v>
      </c>
      <c r="U170" s="30">
        <f t="shared" si="35"/>
        <v>3679010.2333333339</v>
      </c>
    </row>
    <row r="171" spans="1:21" s="36" customFormat="1" ht="15.75">
      <c r="A171" s="42">
        <v>44469</v>
      </c>
      <c r="B171" s="31">
        <v>-150538.59999999998</v>
      </c>
      <c r="C171" s="31">
        <v>-254415.30000000002</v>
      </c>
      <c r="D171" s="31">
        <v>-210</v>
      </c>
      <c r="E171" s="30">
        <f t="shared" si="33"/>
        <v>-405163.9</v>
      </c>
      <c r="F171" s="31">
        <v>0</v>
      </c>
      <c r="G171" s="31">
        <v>1831324.1</v>
      </c>
      <c r="H171" s="31"/>
      <c r="I171" s="31">
        <v>347172.2</v>
      </c>
      <c r="J171" s="31">
        <v>0</v>
      </c>
      <c r="K171" s="31">
        <v>697339.3</v>
      </c>
      <c r="L171" s="32">
        <f t="shared" si="34"/>
        <v>2875835.6000000006</v>
      </c>
      <c r="M171" s="31">
        <v>649481.6</v>
      </c>
      <c r="N171" s="30">
        <v>82805.899999999994</v>
      </c>
      <c r="O171" s="32">
        <f t="shared" si="22"/>
        <v>2143548.1000000006</v>
      </c>
      <c r="P171" s="37">
        <v>25714.199999999997</v>
      </c>
      <c r="Q171" s="32">
        <v>2139643.5</v>
      </c>
      <c r="R171" s="32">
        <v>337.9</v>
      </c>
      <c r="S171" s="30">
        <f t="shared" si="28"/>
        <v>2165695.6</v>
      </c>
      <c r="T171" s="34">
        <f t="shared" si="24"/>
        <v>4309243.7000000011</v>
      </c>
      <c r="U171" s="30">
        <f t="shared" si="35"/>
        <v>3904079.8000000012</v>
      </c>
    </row>
    <row r="172" spans="1:21" s="36" customFormat="1" ht="15.75">
      <c r="A172" s="42">
        <v>44500</v>
      </c>
      <c r="B172" s="31">
        <v>4592.7000000000698</v>
      </c>
      <c r="C172" s="31">
        <v>-281290.19999999995</v>
      </c>
      <c r="D172" s="31">
        <v>-140</v>
      </c>
      <c r="E172" s="30">
        <f t="shared" si="33"/>
        <v>-276837.49999999988</v>
      </c>
      <c r="F172" s="31">
        <v>0</v>
      </c>
      <c r="G172" s="31">
        <v>1829946.6</v>
      </c>
      <c r="H172" s="31"/>
      <c r="I172" s="31">
        <v>348219.30000000005</v>
      </c>
      <c r="J172" s="31">
        <v>0</v>
      </c>
      <c r="K172" s="31">
        <v>696699.4</v>
      </c>
      <c r="L172" s="32">
        <f t="shared" si="34"/>
        <v>2874865.3000000003</v>
      </c>
      <c r="M172" s="31">
        <v>828877.9</v>
      </c>
      <c r="N172" s="30">
        <v>83014.5</v>
      </c>
      <c r="O172" s="32">
        <f t="shared" si="22"/>
        <v>1962972.9000000004</v>
      </c>
      <c r="P172" s="37">
        <v>25674.5</v>
      </c>
      <c r="Q172" s="32">
        <v>2219614.7999999998</v>
      </c>
      <c r="R172" s="32">
        <v>279.7</v>
      </c>
      <c r="S172" s="30">
        <f t="shared" si="28"/>
        <v>2245569</v>
      </c>
      <c r="T172" s="34">
        <f t="shared" si="24"/>
        <v>4208541.9000000004</v>
      </c>
      <c r="U172" s="30">
        <f t="shared" si="35"/>
        <v>3931704.4000000004</v>
      </c>
    </row>
    <row r="173" spans="1:21" s="36" customFormat="1" ht="15.75">
      <c r="A173" s="42">
        <v>44530</v>
      </c>
      <c r="B173" s="31">
        <v>-78219.400000000023</v>
      </c>
      <c r="C173" s="31">
        <v>-243064.40000000002</v>
      </c>
      <c r="D173" s="31">
        <v>-70</v>
      </c>
      <c r="E173" s="30">
        <f t="shared" si="33"/>
        <v>-321353.80000000005</v>
      </c>
      <c r="F173" s="31">
        <v>61719.1</v>
      </c>
      <c r="G173" s="31">
        <v>1820943</v>
      </c>
      <c r="H173" s="31"/>
      <c r="I173" s="31">
        <v>292644.5</v>
      </c>
      <c r="J173" s="31">
        <v>0</v>
      </c>
      <c r="K173" s="31">
        <v>693753.1</v>
      </c>
      <c r="L173" s="32">
        <f t="shared" si="34"/>
        <v>2869059.7</v>
      </c>
      <c r="M173" s="31">
        <v>831789.9</v>
      </c>
      <c r="N173" s="30">
        <v>79761.2</v>
      </c>
      <c r="O173" s="32">
        <f t="shared" si="22"/>
        <v>1957508.6000000003</v>
      </c>
      <c r="P173" s="37">
        <v>25832.899999999998</v>
      </c>
      <c r="Q173" s="32">
        <v>2304686.5</v>
      </c>
      <c r="R173" s="32">
        <v>266.3</v>
      </c>
      <c r="S173" s="30">
        <f t="shared" si="28"/>
        <v>2330785.6999999997</v>
      </c>
      <c r="T173" s="34">
        <f t="shared" si="24"/>
        <v>4288294.3</v>
      </c>
      <c r="U173" s="30">
        <f t="shared" si="35"/>
        <v>3966940.5</v>
      </c>
    </row>
    <row r="174" spans="1:21" s="36" customFormat="1" ht="15.75">
      <c r="A174" s="42">
        <v>44561</v>
      </c>
      <c r="B174" s="31">
        <v>-141348.09999999998</v>
      </c>
      <c r="C174" s="31">
        <v>-181042.40000000002</v>
      </c>
      <c r="D174" s="31">
        <v>0</v>
      </c>
      <c r="E174" s="30">
        <f t="shared" si="33"/>
        <v>-322390.5</v>
      </c>
      <c r="F174" s="31">
        <v>36124.9</v>
      </c>
      <c r="G174" s="31">
        <v>1816057.7</v>
      </c>
      <c r="H174" s="31"/>
      <c r="I174" s="31">
        <v>290056.7</v>
      </c>
      <c r="J174" s="31">
        <v>0</v>
      </c>
      <c r="K174" s="31">
        <v>690961.7</v>
      </c>
      <c r="L174" s="32">
        <f t="shared" si="34"/>
        <v>2833201</v>
      </c>
      <c r="M174" s="31">
        <v>826676.3</v>
      </c>
      <c r="N174" s="30">
        <v>75800.899999999994</v>
      </c>
      <c r="O174" s="32">
        <f t="shared" si="22"/>
        <v>1930723.8</v>
      </c>
      <c r="P174" s="37">
        <v>25121</v>
      </c>
      <c r="Q174" s="32">
        <v>2351611.3000000003</v>
      </c>
      <c r="R174" s="32">
        <v>256.5</v>
      </c>
      <c r="S174" s="30">
        <f t="shared" si="28"/>
        <v>2376988.8000000003</v>
      </c>
      <c r="T174" s="34">
        <f t="shared" si="24"/>
        <v>4307712.6000000006</v>
      </c>
      <c r="U174" s="30">
        <f t="shared" si="35"/>
        <v>3985322.1000000006</v>
      </c>
    </row>
    <row r="175" spans="1:21" s="36" customFormat="1" ht="18">
      <c r="A175" s="42" t="s">
        <v>64</v>
      </c>
      <c r="B175" s="31">
        <v>-117059.80000000005</v>
      </c>
      <c r="C175" s="31">
        <v>-237485.4</v>
      </c>
      <c r="D175" s="31">
        <v>0</v>
      </c>
      <c r="E175" s="30">
        <f t="shared" si="33"/>
        <v>-354545.20000000007</v>
      </c>
      <c r="F175" s="31">
        <v>57950.6</v>
      </c>
      <c r="G175" s="31">
        <v>1809944.3</v>
      </c>
      <c r="H175" s="31"/>
      <c r="I175" s="31">
        <v>435342.9</v>
      </c>
      <c r="J175" s="31">
        <v>0</v>
      </c>
      <c r="K175" s="31">
        <v>691355.6</v>
      </c>
      <c r="L175" s="32">
        <f t="shared" si="34"/>
        <v>2994593.4000000004</v>
      </c>
      <c r="M175" s="31">
        <v>835800.1</v>
      </c>
      <c r="N175" s="30">
        <v>82686.100000000006</v>
      </c>
      <c r="O175" s="32">
        <f t="shared" si="22"/>
        <v>2076107.2000000002</v>
      </c>
      <c r="P175" s="37">
        <v>24911.699999999997</v>
      </c>
      <c r="Q175" s="32">
        <v>2391220.9</v>
      </c>
      <c r="R175" s="32">
        <v>230.5</v>
      </c>
      <c r="S175" s="30">
        <f t="shared" si="28"/>
        <v>2416363.1</v>
      </c>
      <c r="T175" s="34">
        <f t="shared" si="24"/>
        <v>4492470.3000000007</v>
      </c>
      <c r="U175" s="30">
        <f t="shared" si="35"/>
        <v>4137925.1000000006</v>
      </c>
    </row>
    <row r="176" spans="1:21" s="36" customFormat="1" ht="18">
      <c r="A176" s="42" t="s">
        <v>65</v>
      </c>
      <c r="B176" s="31">
        <v>-117059.80000000005</v>
      </c>
      <c r="C176" s="31">
        <v>-222015.3</v>
      </c>
      <c r="D176" s="31">
        <v>0</v>
      </c>
      <c r="E176" s="30">
        <f t="shared" si="33"/>
        <v>-339075.10000000003</v>
      </c>
      <c r="F176" s="31">
        <v>57950.6</v>
      </c>
      <c r="G176" s="31">
        <v>1817154.0000000002</v>
      </c>
      <c r="H176" s="31"/>
      <c r="I176" s="31">
        <v>434194.8</v>
      </c>
      <c r="J176" s="31">
        <v>0</v>
      </c>
      <c r="K176" s="31">
        <v>691355.6</v>
      </c>
      <c r="L176" s="32">
        <f t="shared" si="34"/>
        <v>3000655.0000000005</v>
      </c>
      <c r="M176" s="31">
        <v>841264.9</v>
      </c>
      <c r="N176" s="30">
        <v>90403.9</v>
      </c>
      <c r="O176" s="32">
        <f t="shared" si="22"/>
        <v>2068986.2000000007</v>
      </c>
      <c r="P176" s="37">
        <v>24451.600000000002</v>
      </c>
      <c r="Q176" s="32">
        <v>2473616.3000000003</v>
      </c>
      <c r="R176" s="32">
        <v>245.6</v>
      </c>
      <c r="S176" s="30">
        <f t="shared" si="28"/>
        <v>2498313.5000000005</v>
      </c>
      <c r="T176" s="34">
        <f t="shared" si="24"/>
        <v>4567299.7000000011</v>
      </c>
      <c r="U176" s="30">
        <f t="shared" si="35"/>
        <v>4228224.6000000015</v>
      </c>
    </row>
    <row r="177" spans="1:21" s="36" customFormat="1" ht="18">
      <c r="A177" s="42" t="s">
        <v>66</v>
      </c>
      <c r="B177" s="31">
        <v>-113493.90000000002</v>
      </c>
      <c r="C177" s="31">
        <v>-194680.9</v>
      </c>
      <c r="D177" s="31">
        <v>0</v>
      </c>
      <c r="E177" s="30">
        <f t="shared" si="33"/>
        <v>-308174.80000000005</v>
      </c>
      <c r="F177" s="31">
        <v>32028.5</v>
      </c>
      <c r="G177" s="31">
        <v>1833166.5</v>
      </c>
      <c r="H177" s="31"/>
      <c r="I177" s="31">
        <v>429373.89999999997</v>
      </c>
      <c r="J177" s="31">
        <v>0</v>
      </c>
      <c r="K177" s="31">
        <v>690433.4</v>
      </c>
      <c r="L177" s="32">
        <f t="shared" si="34"/>
        <v>2985002.3</v>
      </c>
      <c r="M177" s="31">
        <v>950524.7</v>
      </c>
      <c r="N177" s="30">
        <v>118394.9</v>
      </c>
      <c r="O177" s="32">
        <f t="shared" si="22"/>
        <v>1916082.7</v>
      </c>
      <c r="P177" s="37">
        <v>24010.399999999998</v>
      </c>
      <c r="Q177" s="32">
        <v>2537250.1</v>
      </c>
      <c r="R177" s="32">
        <v>238.4</v>
      </c>
      <c r="S177" s="30">
        <f t="shared" si="28"/>
        <v>2561498.9</v>
      </c>
      <c r="T177" s="34">
        <f t="shared" si="24"/>
        <v>4477581.5999999996</v>
      </c>
      <c r="U177" s="30">
        <f t="shared" si="35"/>
        <v>4169406.8</v>
      </c>
    </row>
    <row r="178" spans="1:21" s="36" customFormat="1" ht="18">
      <c r="A178" s="42" t="s">
        <v>67</v>
      </c>
      <c r="B178" s="31">
        <v>-113493.90000000002</v>
      </c>
      <c r="C178" s="31">
        <v>-165760.99999999997</v>
      </c>
      <c r="D178" s="31">
        <v>0</v>
      </c>
      <c r="E178" s="30">
        <f t="shared" si="33"/>
        <v>-279254.90000000002</v>
      </c>
      <c r="F178" s="31">
        <v>32028.5</v>
      </c>
      <c r="G178" s="31">
        <v>1817104.8</v>
      </c>
      <c r="H178" s="31"/>
      <c r="I178" s="31">
        <v>435118.19999999995</v>
      </c>
      <c r="J178" s="31">
        <v>0</v>
      </c>
      <c r="K178" s="31">
        <v>690433.4</v>
      </c>
      <c r="L178" s="32">
        <f t="shared" si="34"/>
        <v>2974684.9</v>
      </c>
      <c r="M178" s="31">
        <v>918450.3</v>
      </c>
      <c r="N178" s="30">
        <v>113333.2</v>
      </c>
      <c r="O178" s="32">
        <f t="shared" si="22"/>
        <v>1942901.4</v>
      </c>
      <c r="P178" s="37">
        <v>24211.1</v>
      </c>
      <c r="Q178" s="32">
        <v>2619879.0100000002</v>
      </c>
      <c r="R178" s="32">
        <v>233</v>
      </c>
      <c r="S178" s="30">
        <f t="shared" si="28"/>
        <v>2644323.1100000003</v>
      </c>
      <c r="T178" s="34">
        <f t="shared" si="24"/>
        <v>4587224.51</v>
      </c>
      <c r="U178" s="30">
        <f t="shared" si="35"/>
        <v>4307969.6099999994</v>
      </c>
    </row>
    <row r="179" spans="1:21" s="36" customFormat="1" ht="18">
      <c r="A179" s="42" t="s">
        <v>68</v>
      </c>
      <c r="B179" s="31">
        <v>-113493.90000000002</v>
      </c>
      <c r="C179" s="31">
        <v>-135284.69999999998</v>
      </c>
      <c r="D179" s="31">
        <v>0</v>
      </c>
      <c r="E179" s="30">
        <f t="shared" si="33"/>
        <v>-248778.6</v>
      </c>
      <c r="F179" s="31">
        <v>32028.5</v>
      </c>
      <c r="G179" s="31">
        <v>1791570.8</v>
      </c>
      <c r="H179" s="31"/>
      <c r="I179" s="31">
        <v>425847.39999999997</v>
      </c>
      <c r="J179" s="31">
        <v>0</v>
      </c>
      <c r="K179" s="31">
        <v>690433.4</v>
      </c>
      <c r="L179" s="32">
        <f t="shared" si="34"/>
        <v>2939880.1</v>
      </c>
      <c r="M179" s="31">
        <v>942925</v>
      </c>
      <c r="N179" s="30">
        <v>87288.2</v>
      </c>
      <c r="O179" s="32">
        <f t="shared" si="22"/>
        <v>1909666.9000000001</v>
      </c>
      <c r="P179" s="37">
        <v>23597.5</v>
      </c>
      <c r="Q179" s="32">
        <v>2715988.1999999997</v>
      </c>
      <c r="R179" s="32">
        <v>270.40000000000003</v>
      </c>
      <c r="S179" s="30">
        <f t="shared" si="28"/>
        <v>2739856.0999999996</v>
      </c>
      <c r="T179" s="34">
        <f t="shared" si="24"/>
        <v>4649523</v>
      </c>
      <c r="U179" s="30">
        <f t="shared" si="35"/>
        <v>4400744.4000000004</v>
      </c>
    </row>
    <row r="180" spans="1:21" s="36" customFormat="1" ht="18">
      <c r="A180" s="42" t="s">
        <v>69</v>
      </c>
      <c r="B180" s="31">
        <v>-232158.59999999998</v>
      </c>
      <c r="C180" s="31">
        <v>-190483.3</v>
      </c>
      <c r="D180" s="31">
        <v>0</v>
      </c>
      <c r="E180" s="30">
        <f t="shared" si="33"/>
        <v>-422641.89999999997</v>
      </c>
      <c r="F180" s="31">
        <v>266435.90000000002</v>
      </c>
      <c r="G180" s="31">
        <v>1777341.7</v>
      </c>
      <c r="H180" s="31"/>
      <c r="I180" s="31">
        <v>524312.9</v>
      </c>
      <c r="J180" s="31">
        <v>0</v>
      </c>
      <c r="K180" s="31">
        <v>686729.1</v>
      </c>
      <c r="L180" s="32">
        <f t="shared" si="34"/>
        <v>3254819.6</v>
      </c>
      <c r="M180" s="31">
        <v>905749</v>
      </c>
      <c r="N180" s="30">
        <v>120078.3</v>
      </c>
      <c r="O180" s="32">
        <f t="shared" si="22"/>
        <v>2228992.3000000003</v>
      </c>
      <c r="P180" s="37">
        <v>24195.1</v>
      </c>
      <c r="Q180" s="32">
        <v>2882825.3</v>
      </c>
      <c r="R180" s="32">
        <v>6839.5000000000009</v>
      </c>
      <c r="S180" s="30">
        <f t="shared" si="28"/>
        <v>2913859.9</v>
      </c>
      <c r="T180" s="34">
        <f t="shared" si="24"/>
        <v>5142852.2</v>
      </c>
      <c r="U180" s="30">
        <f t="shared" si="35"/>
        <v>4720210.3</v>
      </c>
    </row>
    <row r="181" spans="1:21" s="36" customFormat="1" ht="18">
      <c r="A181" s="42" t="s">
        <v>70</v>
      </c>
      <c r="B181" s="31">
        <v>-335583.1</v>
      </c>
      <c r="C181" s="31">
        <v>-217524.2</v>
      </c>
      <c r="D181" s="31">
        <v>0</v>
      </c>
      <c r="E181" s="30">
        <f t="shared" si="33"/>
        <v>-553107.30000000005</v>
      </c>
      <c r="F181" s="31">
        <v>28468.2</v>
      </c>
      <c r="G181" s="31">
        <v>1762267.7000000002</v>
      </c>
      <c r="H181" s="31"/>
      <c r="I181" s="31">
        <v>839632.6</v>
      </c>
      <c r="J181" s="31">
        <v>0</v>
      </c>
      <c r="K181" s="31">
        <v>945987.1</v>
      </c>
      <c r="L181" s="32">
        <f t="shared" si="34"/>
        <v>3576355.6</v>
      </c>
      <c r="M181" s="31">
        <v>968414.23333333305</v>
      </c>
      <c r="N181" s="30">
        <v>115213.2</v>
      </c>
      <c r="O181" s="32">
        <f t="shared" si="22"/>
        <v>2492728.166666667</v>
      </c>
      <c r="P181" s="37">
        <v>25024.1</v>
      </c>
      <c r="Q181" s="32">
        <v>3001914.9000000004</v>
      </c>
      <c r="R181" s="32">
        <v>213</v>
      </c>
      <c r="S181" s="30">
        <f t="shared" si="28"/>
        <v>3027152.0000000005</v>
      </c>
      <c r="T181" s="34">
        <f t="shared" si="24"/>
        <v>5519880.1666666679</v>
      </c>
      <c r="U181" s="30">
        <f t="shared" si="35"/>
        <v>4966772.8666666681</v>
      </c>
    </row>
    <row r="182" spans="1:21" s="36" customFormat="1" ht="18">
      <c r="A182" s="42" t="s">
        <v>77</v>
      </c>
      <c r="B182" s="31">
        <v>-298966.30000000005</v>
      </c>
      <c r="C182" s="31">
        <v>-239292.2</v>
      </c>
      <c r="D182" s="31">
        <v>0</v>
      </c>
      <c r="E182" s="30">
        <f t="shared" si="33"/>
        <v>-538258.5</v>
      </c>
      <c r="F182" s="31">
        <v>17695.5</v>
      </c>
      <c r="G182" s="31">
        <v>1772507.1</v>
      </c>
      <c r="H182" s="31"/>
      <c r="I182" s="31">
        <v>822229.7</v>
      </c>
      <c r="J182" s="31">
        <v>0</v>
      </c>
      <c r="K182" s="31">
        <v>956869.3</v>
      </c>
      <c r="L182" s="32">
        <f t="shared" si="34"/>
        <v>3569301.5999999996</v>
      </c>
      <c r="M182" s="31">
        <v>895084.66666666698</v>
      </c>
      <c r="N182" s="30">
        <v>96818.9</v>
      </c>
      <c r="O182" s="32">
        <f t="shared" si="22"/>
        <v>2577398.0333333327</v>
      </c>
      <c r="P182" s="37">
        <v>25410.199999999997</v>
      </c>
      <c r="Q182" s="32">
        <v>3059726.9</v>
      </c>
      <c r="R182" s="32">
        <v>203.5</v>
      </c>
      <c r="S182" s="30">
        <f t="shared" si="28"/>
        <v>3085340.6</v>
      </c>
      <c r="T182" s="34">
        <f t="shared" si="24"/>
        <v>5662738.6333333328</v>
      </c>
      <c r="U182" s="30">
        <f t="shared" si="35"/>
        <v>5124480.1333333328</v>
      </c>
    </row>
    <row r="183" spans="1:21" s="36" customFormat="1" ht="18">
      <c r="A183" s="42" t="s">
        <v>73</v>
      </c>
      <c r="B183" s="31">
        <v>-252190.40000000002</v>
      </c>
      <c r="C183" s="31">
        <v>-326772.79999999993</v>
      </c>
      <c r="D183" s="31">
        <v>0</v>
      </c>
      <c r="E183" s="30">
        <f t="shared" si="33"/>
        <v>-578963.19999999995</v>
      </c>
      <c r="F183" s="31">
        <v>82611.8</v>
      </c>
      <c r="G183" s="31">
        <v>1832259.9</v>
      </c>
      <c r="H183" s="31"/>
      <c r="I183" s="31">
        <v>812437.6</v>
      </c>
      <c r="J183" s="31">
        <v>0</v>
      </c>
      <c r="K183" s="31">
        <v>956869.3</v>
      </c>
      <c r="L183" s="32">
        <f t="shared" si="34"/>
        <v>3684178.5999999996</v>
      </c>
      <c r="M183" s="31">
        <v>1027904.5</v>
      </c>
      <c r="N183" s="30">
        <v>123234.2</v>
      </c>
      <c r="O183" s="32">
        <f t="shared" si="22"/>
        <v>2533039.8999999994</v>
      </c>
      <c r="P183" s="37">
        <v>24189.1</v>
      </c>
      <c r="Q183" s="32">
        <v>3203720.8</v>
      </c>
      <c r="R183" s="32">
        <v>829.2</v>
      </c>
      <c r="S183" s="30">
        <f t="shared" si="28"/>
        <v>3228739.1</v>
      </c>
      <c r="T183" s="34">
        <f t="shared" si="24"/>
        <v>5761779</v>
      </c>
      <c r="U183" s="30">
        <f t="shared" si="35"/>
        <v>5182815.8</v>
      </c>
    </row>
    <row r="184" spans="1:21" s="36" customFormat="1" ht="18">
      <c r="A184" s="42" t="s">
        <v>74</v>
      </c>
      <c r="B184" s="31">
        <v>-264530.59999999998</v>
      </c>
      <c r="C184" s="31">
        <v>-309265.09999999998</v>
      </c>
      <c r="D184" s="31">
        <v>-119.3</v>
      </c>
      <c r="E184" s="30">
        <f t="shared" si="33"/>
        <v>-573915</v>
      </c>
      <c r="F184" s="31">
        <v>25854.9</v>
      </c>
      <c r="G184" s="31">
        <v>1843946.9999999998</v>
      </c>
      <c r="H184" s="31"/>
      <c r="I184" s="31">
        <v>813762.2</v>
      </c>
      <c r="J184" s="31">
        <v>0</v>
      </c>
      <c r="K184" s="31">
        <v>956869.3</v>
      </c>
      <c r="L184" s="32">
        <f t="shared" si="34"/>
        <v>3640433.3999999994</v>
      </c>
      <c r="M184" s="31">
        <v>969164.1</v>
      </c>
      <c r="N184" s="30">
        <v>65963.3</v>
      </c>
      <c r="O184" s="32">
        <f t="shared" si="22"/>
        <v>2605305.9999999995</v>
      </c>
      <c r="P184" s="37">
        <v>23641</v>
      </c>
      <c r="Q184" s="32">
        <v>3217202.2</v>
      </c>
      <c r="R184" s="32">
        <v>189</v>
      </c>
      <c r="S184" s="30">
        <f t="shared" si="28"/>
        <v>3241032.2</v>
      </c>
      <c r="T184" s="34">
        <f t="shared" si="24"/>
        <v>5846338.1999999993</v>
      </c>
      <c r="U184" s="30">
        <f t="shared" si="35"/>
        <v>5272423.1999999993</v>
      </c>
    </row>
    <row r="185" spans="1:21" s="36" customFormat="1" ht="18">
      <c r="A185" s="42" t="s">
        <v>75</v>
      </c>
      <c r="B185" s="31">
        <v>-202019.69999999995</v>
      </c>
      <c r="C185" s="31">
        <v>-350353.1</v>
      </c>
      <c r="D185" s="31">
        <v>-238.6</v>
      </c>
      <c r="E185" s="30">
        <f t="shared" si="33"/>
        <v>-552611.39999999991</v>
      </c>
      <c r="F185" s="31">
        <v>52799.4</v>
      </c>
      <c r="G185" s="31">
        <v>1891121.7</v>
      </c>
      <c r="H185" s="31"/>
      <c r="I185" s="31">
        <v>820862</v>
      </c>
      <c r="J185" s="31">
        <v>0</v>
      </c>
      <c r="K185" s="31">
        <v>942130</v>
      </c>
      <c r="L185" s="32">
        <f t="shared" si="34"/>
        <v>3706913.0999999996</v>
      </c>
      <c r="M185" s="31">
        <v>1101437.8</v>
      </c>
      <c r="N185" s="30">
        <v>116703.4</v>
      </c>
      <c r="O185" s="32">
        <f t="shared" si="22"/>
        <v>2488771.9</v>
      </c>
      <c r="P185" s="37">
        <v>25082.199999999997</v>
      </c>
      <c r="Q185" s="32">
        <v>3312006.4</v>
      </c>
      <c r="R185" s="32">
        <v>181.5</v>
      </c>
      <c r="S185" s="30">
        <f t="shared" si="28"/>
        <v>3337270.1</v>
      </c>
      <c r="T185" s="34">
        <f t="shared" si="24"/>
        <v>5826042</v>
      </c>
      <c r="U185" s="30">
        <f t="shared" si="35"/>
        <v>5273430.5999999996</v>
      </c>
    </row>
    <row r="186" spans="1:21" s="36" customFormat="1" ht="18">
      <c r="A186" s="42" t="s">
        <v>76</v>
      </c>
      <c r="B186" s="31">
        <v>-252046.90000000002</v>
      </c>
      <c r="C186" s="31">
        <v>-309521.5</v>
      </c>
      <c r="D186" s="31">
        <v>-357.9</v>
      </c>
      <c r="E186" s="30">
        <f t="shared" si="33"/>
        <v>-561926.30000000005</v>
      </c>
      <c r="F186" s="31">
        <v>3346.5</v>
      </c>
      <c r="G186" s="31">
        <v>1994536.9</v>
      </c>
      <c r="H186" s="31"/>
      <c r="I186" s="31">
        <v>875209.5</v>
      </c>
      <c r="J186" s="31">
        <v>0</v>
      </c>
      <c r="K186" s="31">
        <v>941229</v>
      </c>
      <c r="L186" s="32">
        <f t="shared" si="34"/>
        <v>3814321.9</v>
      </c>
      <c r="M186" s="31">
        <v>1152725.8999999999</v>
      </c>
      <c r="N186" s="30">
        <v>128898.4</v>
      </c>
      <c r="O186" s="32">
        <f t="shared" si="22"/>
        <v>2532697.6</v>
      </c>
      <c r="P186" s="37">
        <v>23718</v>
      </c>
      <c r="Q186" s="32">
        <v>3388341.2</v>
      </c>
      <c r="R186" s="32">
        <v>167.9</v>
      </c>
      <c r="S186" s="30">
        <f t="shared" si="28"/>
        <v>3412227.1</v>
      </c>
      <c r="T186" s="34">
        <f t="shared" si="24"/>
        <v>5944924.7000000002</v>
      </c>
      <c r="U186" s="30">
        <f t="shared" si="35"/>
        <v>5382998.4000000004</v>
      </c>
    </row>
    <row r="187" spans="1:21" s="36" customFormat="1" ht="18">
      <c r="A187" s="42" t="s">
        <v>78</v>
      </c>
      <c r="B187" s="31">
        <f>380839.5-682422.9</f>
        <v>-301583.40000000002</v>
      </c>
      <c r="C187" s="31">
        <f>226499.7-469165.6</f>
        <v>-242665.89999999997</v>
      </c>
      <c r="D187" s="31">
        <f>0-246.1</f>
        <v>-246.1</v>
      </c>
      <c r="E187" s="30">
        <f t="shared" ref="E187:E193" si="36">+SUM(B187:D187)</f>
        <v>-544495.4</v>
      </c>
      <c r="F187" s="31">
        <v>0</v>
      </c>
      <c r="G187" s="31">
        <f>292381.4+1651365.2+100+112971.5</f>
        <v>2056818.1</v>
      </c>
      <c r="H187" s="31"/>
      <c r="I187" s="31">
        <f>150000+120000+36016+300000+94652.5+61731.4+26969.4+76116.6+11342.3</f>
        <v>876828.20000000007</v>
      </c>
      <c r="J187" s="31">
        <v>0</v>
      </c>
      <c r="K187" s="31">
        <f>673227.1+266435.9</f>
        <v>939663</v>
      </c>
      <c r="L187" s="32">
        <f t="shared" ref="L187:L190" si="37">+SUM(F187:K187)</f>
        <v>3873309.3000000003</v>
      </c>
      <c r="M187" s="31">
        <v>1108779.8</v>
      </c>
      <c r="N187" s="30">
        <v>104771.7</v>
      </c>
      <c r="O187" s="32">
        <f t="shared" si="22"/>
        <v>2659757.7999999998</v>
      </c>
      <c r="P187" s="37">
        <f>24258.1+101.6</f>
        <v>24359.699999999997</v>
      </c>
      <c r="Q187" s="32">
        <f>3311938.1+8447.6+80356.1</f>
        <v>3400741.8000000003</v>
      </c>
      <c r="R187" s="32">
        <v>160</v>
      </c>
      <c r="S187" s="30">
        <f t="shared" si="28"/>
        <v>3425261.5000000005</v>
      </c>
      <c r="T187" s="34">
        <f t="shared" si="24"/>
        <v>6085019.3000000007</v>
      </c>
      <c r="U187" s="30">
        <f t="shared" si="35"/>
        <v>5540523.9000000004</v>
      </c>
    </row>
    <row r="188" spans="1:21" s="36" customFormat="1" ht="18">
      <c r="A188" s="42" t="s">
        <v>79</v>
      </c>
      <c r="B188" s="31">
        <f>372946.5-681266.9</f>
        <v>-308320.40000000002</v>
      </c>
      <c r="C188" s="31">
        <f>186225.2-472285.2</f>
        <v>-286060</v>
      </c>
      <c r="D188" s="31">
        <f>0-123.1</f>
        <v>-123.1</v>
      </c>
      <c r="E188" s="30">
        <f t="shared" si="36"/>
        <v>-594503.5</v>
      </c>
      <c r="F188" s="31">
        <v>0</v>
      </c>
      <c r="G188" s="31">
        <f>306858+1662236.6+100+113038.1</f>
        <v>2082232.7000000002</v>
      </c>
      <c r="H188" s="31"/>
      <c r="I188" s="31">
        <f>150000+120000+36220.1+300000+94652.5+104307.7+18658+76116.6+11342.3</f>
        <v>911297.2</v>
      </c>
      <c r="J188" s="31">
        <v>0</v>
      </c>
      <c r="K188" s="31">
        <f>671660.7+266435.7</f>
        <v>938096.39999999991</v>
      </c>
      <c r="L188" s="32">
        <f t="shared" si="37"/>
        <v>3931626.3000000003</v>
      </c>
      <c r="M188" s="31">
        <v>1055417.33333333</v>
      </c>
      <c r="N188" s="30">
        <v>109022.5</v>
      </c>
      <c r="O188" s="32">
        <f t="shared" si="22"/>
        <v>2767186.4666666705</v>
      </c>
      <c r="P188" s="37">
        <f>25207.3+101.6</f>
        <v>25308.899999999998</v>
      </c>
      <c r="Q188" s="32">
        <f>3304848.7+8223.2+78086.9</f>
        <v>3391158.8000000003</v>
      </c>
      <c r="R188" s="32">
        <v>155.5</v>
      </c>
      <c r="S188" s="30">
        <f t="shared" si="28"/>
        <v>3416623.2</v>
      </c>
      <c r="T188" s="34">
        <f t="shared" si="24"/>
        <v>6183809.6666666707</v>
      </c>
      <c r="U188" s="30">
        <f t="shared" si="35"/>
        <v>5589306.1666666707</v>
      </c>
    </row>
    <row r="189" spans="1:21" s="36" customFormat="1" ht="18">
      <c r="A189" s="42" t="s">
        <v>80</v>
      </c>
      <c r="B189" s="31">
        <f>400217.3-680857</f>
        <v>-280639.7</v>
      </c>
      <c r="C189" s="31">
        <f>190422.1-494952.9</f>
        <v>-304530.80000000005</v>
      </c>
      <c r="D189" s="31">
        <f>0-0</f>
        <v>0</v>
      </c>
      <c r="E189" s="30">
        <f t="shared" si="36"/>
        <v>-585170.5</v>
      </c>
      <c r="F189" s="31">
        <v>0</v>
      </c>
      <c r="G189" s="31">
        <f>278906.5+1595305.7+100+215081.3</f>
        <v>2089393.5</v>
      </c>
      <c r="H189" s="31"/>
      <c r="I189" s="31">
        <f>20802.9+105453.6+0+76116.6+0+11776.6+0+0+150000+120000+39650.2+300000+94652.5</f>
        <v>918452.4</v>
      </c>
      <c r="J189" s="31">
        <v>0</v>
      </c>
      <c r="K189" s="31">
        <f>669762.3+266435.7</f>
        <v>936198</v>
      </c>
      <c r="L189" s="32">
        <f t="shared" si="37"/>
        <v>3944043.9</v>
      </c>
      <c r="M189" s="31">
        <v>1217275</v>
      </c>
      <c r="N189" s="30">
        <v>92302.1</v>
      </c>
      <c r="O189" s="32">
        <f t="shared" si="22"/>
        <v>2634466.7999999998</v>
      </c>
      <c r="P189" s="37">
        <f>25276.5+101.6</f>
        <v>25378.1</v>
      </c>
      <c r="Q189" s="32">
        <f>3372551.6+9446.9+85726.7</f>
        <v>3467725.2</v>
      </c>
      <c r="R189" s="32">
        <v>301.89999999999998</v>
      </c>
      <c r="S189" s="30">
        <f t="shared" si="28"/>
        <v>3493405.2</v>
      </c>
      <c r="T189" s="34">
        <f t="shared" si="24"/>
        <v>6127872</v>
      </c>
      <c r="U189" s="30">
        <f t="shared" si="35"/>
        <v>5542701.5</v>
      </c>
    </row>
    <row r="190" spans="1:21" s="36" customFormat="1" ht="18">
      <c r="A190" s="42" t="s">
        <v>81</v>
      </c>
      <c r="B190" s="31">
        <f>302317.9-681328</f>
        <v>-379010.1</v>
      </c>
      <c r="C190" s="31">
        <f>197729.7-550781.5</f>
        <v>-353051.8</v>
      </c>
      <c r="D190" s="31">
        <f>0-114.7</f>
        <v>-114.7</v>
      </c>
      <c r="E190" s="30">
        <f t="shared" si="36"/>
        <v>-732176.59999999986</v>
      </c>
      <c r="F190" s="31">
        <v>0</v>
      </c>
      <c r="G190" s="31">
        <f>326982.5+1625464.2+100+113469.3</f>
        <v>2066016</v>
      </c>
      <c r="H190" s="31"/>
      <c r="I190" s="31">
        <f>20216.1+107632.3+0+76116.6+0+13154.3+0+0+150000+120000+0+300000+94652.5</f>
        <v>881771.8</v>
      </c>
      <c r="J190" s="31">
        <v>0</v>
      </c>
      <c r="K190" s="31">
        <f>668195.2+266435.7</f>
        <v>934630.89999999991</v>
      </c>
      <c r="L190" s="32">
        <f t="shared" si="37"/>
        <v>3882418.6999999997</v>
      </c>
      <c r="M190" s="31">
        <v>1015178.9</v>
      </c>
      <c r="N190" s="30">
        <v>106641.4</v>
      </c>
      <c r="O190" s="32">
        <f t="shared" si="22"/>
        <v>2760598.4</v>
      </c>
      <c r="P190" s="37">
        <f>24812.1+101.6</f>
        <v>24913.699999999997</v>
      </c>
      <c r="Q190" s="32">
        <f>3454895.7+11285.9+86239.6</f>
        <v>3552421.2</v>
      </c>
      <c r="R190" s="32">
        <v>293.3</v>
      </c>
      <c r="S190" s="30">
        <f t="shared" si="28"/>
        <v>3577628.2</v>
      </c>
      <c r="T190" s="34">
        <f t="shared" si="24"/>
        <v>6338226.5999999996</v>
      </c>
      <c r="U190" s="30">
        <f t="shared" si="35"/>
        <v>5606050</v>
      </c>
    </row>
    <row r="191" spans="1:21" s="36" customFormat="1" ht="18">
      <c r="A191" s="42" t="s">
        <v>82</v>
      </c>
      <c r="B191" s="31">
        <f>161654.2-760083.8</f>
        <v>-598429.60000000009</v>
      </c>
      <c r="C191" s="31">
        <f>281692.6-700437.6</f>
        <v>-418745</v>
      </c>
      <c r="D191" s="31">
        <f>0-229.4</f>
        <v>-229.4</v>
      </c>
      <c r="E191" s="30">
        <f t="shared" si="36"/>
        <v>-1017404.0000000001</v>
      </c>
      <c r="F191" s="31">
        <v>123094.8</v>
      </c>
      <c r="G191" s="31">
        <f>318298.3+1563886.1+100+113531.3</f>
        <v>1995815.7000000002</v>
      </c>
      <c r="H191" s="31"/>
      <c r="I191" s="31">
        <f>18645+129325.5+0+76116.6+0+5668.4+0+0+150000+0+0+300000+94652.5</f>
        <v>774408</v>
      </c>
      <c r="J191" s="31">
        <v>0</v>
      </c>
      <c r="K191" s="31">
        <f>666986.1+266435.3</f>
        <v>933421.39999999991</v>
      </c>
      <c r="L191" s="32">
        <f>+SUM(F191:K191)</f>
        <v>3826739.9</v>
      </c>
      <c r="M191" s="31">
        <v>1058392.1000000001</v>
      </c>
      <c r="N191" s="30">
        <v>108214.8</v>
      </c>
      <c r="O191" s="32">
        <f t="shared" si="22"/>
        <v>2660133</v>
      </c>
      <c r="P191" s="37">
        <f>25619.4+101.6</f>
        <v>25721</v>
      </c>
      <c r="Q191" s="32">
        <f>3619806.2+13057.9+88825.7</f>
        <v>3721689.8000000003</v>
      </c>
      <c r="R191" s="32">
        <v>320.8</v>
      </c>
      <c r="S191" s="30">
        <f t="shared" si="28"/>
        <v>3747731.6</v>
      </c>
      <c r="T191" s="34">
        <f t="shared" si="24"/>
        <v>6407864.5999999996</v>
      </c>
      <c r="U191" s="30">
        <f>SUM(E191,T191)</f>
        <v>5390460.5999999996</v>
      </c>
    </row>
    <row r="192" spans="1:21" s="36" customFormat="1" ht="18">
      <c r="A192" s="42" t="s">
        <v>83</v>
      </c>
      <c r="B192" s="31">
        <f>348849.5-881741.5</f>
        <v>-532892</v>
      </c>
      <c r="C192" s="31">
        <f>223020.3-682090.8</f>
        <v>-459070.50000000006</v>
      </c>
      <c r="D192" s="31">
        <f>0-344.1</f>
        <v>-344.1</v>
      </c>
      <c r="E192" s="30">
        <f t="shared" si="36"/>
        <v>-992306.6</v>
      </c>
      <c r="F192" s="31">
        <v>314986.5</v>
      </c>
      <c r="G192" s="31">
        <f>306336.2+1585479.9+100+120309.4</f>
        <v>2012225.4999999998</v>
      </c>
      <c r="H192" s="31"/>
      <c r="I192" s="31">
        <f>24754.1+76116.6+0+0+0+0+150000+300000+94652.5+127763.5+0</f>
        <v>773286.7</v>
      </c>
      <c r="J192" s="31">
        <v>0</v>
      </c>
      <c r="K192" s="31">
        <f>663830.6+266435.9</f>
        <v>930266.5</v>
      </c>
      <c r="L192" s="32">
        <f t="shared" ref="L192:L197" si="38">+SUM(F192:K192)</f>
        <v>4030765.2</v>
      </c>
      <c r="M192" s="31">
        <v>1101488.7</v>
      </c>
      <c r="N192" s="30">
        <v>182718.6</v>
      </c>
      <c r="O192" s="32">
        <f t="shared" si="22"/>
        <v>2746557.9</v>
      </c>
      <c r="P192" s="37">
        <f>25542.6+101.6</f>
        <v>25644.199999999997</v>
      </c>
      <c r="Q192" s="32">
        <f>3680801.2+14829.9+98320.8</f>
        <v>3793951.9</v>
      </c>
      <c r="R192" s="32">
        <v>277.5</v>
      </c>
      <c r="S192" s="30">
        <f t="shared" si="28"/>
        <v>3819873.6</v>
      </c>
      <c r="T192" s="34">
        <f t="shared" si="24"/>
        <v>6566431.5</v>
      </c>
      <c r="U192" s="30">
        <f t="shared" si="35"/>
        <v>5574124.9000000004</v>
      </c>
    </row>
    <row r="193" spans="1:23" s="36" customFormat="1" ht="18">
      <c r="A193" s="42" t="s">
        <v>84</v>
      </c>
      <c r="B193" s="31">
        <f>386587.3-975348.8</f>
        <v>-588761.5</v>
      </c>
      <c r="C193" s="31">
        <f>285671.7-746665</f>
        <v>-460993.3</v>
      </c>
      <c r="D193" s="31">
        <f>0-355.7</f>
        <v>-355.7</v>
      </c>
      <c r="E193" s="30">
        <f t="shared" si="36"/>
        <v>-1050110.5</v>
      </c>
      <c r="F193" s="31">
        <v>0</v>
      </c>
      <c r="G193" s="31">
        <f>290143.6+1589885.3+100+120619.3</f>
        <v>2000748.2</v>
      </c>
      <c r="H193" s="31"/>
      <c r="I193" s="31">
        <f>22652.9+76116.6+150000+300000+94652.5+129936.7</f>
        <v>773358.7</v>
      </c>
      <c r="J193" s="31">
        <v>0</v>
      </c>
      <c r="K193" s="31">
        <f>662262.3+266435.9+314986.5</f>
        <v>1243684.7000000002</v>
      </c>
      <c r="L193" s="32">
        <f t="shared" si="38"/>
        <v>4017791.6</v>
      </c>
      <c r="M193" s="31">
        <v>1202494.3999999999</v>
      </c>
      <c r="N193" s="30">
        <v>157582.20000000001</v>
      </c>
      <c r="O193" s="32">
        <f t="shared" si="22"/>
        <v>2657715</v>
      </c>
      <c r="P193" s="37">
        <f>25455.6+101.6</f>
        <v>25557.199999999997</v>
      </c>
      <c r="Q193" s="32">
        <f>3766218.7+13823.6+110901.6</f>
        <v>3890943.9000000004</v>
      </c>
      <c r="R193" s="32">
        <v>295.10000000000002</v>
      </c>
      <c r="S193" s="30">
        <f t="shared" si="28"/>
        <v>3916796.2000000007</v>
      </c>
      <c r="T193" s="34">
        <f>SUM(O193,S193)</f>
        <v>6574511.2000000011</v>
      </c>
      <c r="U193" s="30">
        <f t="shared" si="35"/>
        <v>5524400.7000000011</v>
      </c>
    </row>
    <row r="194" spans="1:23" s="36" customFormat="1" ht="18">
      <c r="A194" s="42" t="s">
        <v>85</v>
      </c>
      <c r="B194" s="31">
        <f>231905.5-966454.9</f>
        <v>-734549.4</v>
      </c>
      <c r="C194" s="31">
        <f>242969.3-729596.9</f>
        <v>-486627.60000000003</v>
      </c>
      <c r="D194" s="31">
        <f>0-367.2</f>
        <v>-367.2</v>
      </c>
      <c r="E194" s="30">
        <f>+SUM(B194:D194)</f>
        <v>-1221544.2</v>
      </c>
      <c r="F194" s="31">
        <v>102414.2</v>
      </c>
      <c r="G194" s="31">
        <f>319715.5+1548124.8+100+120584.8</f>
        <v>1988525.1</v>
      </c>
      <c r="H194" s="31"/>
      <c r="I194" s="31">
        <f>23728.4+38341.6+150000+0+0+300000+94652.5+122774.5</f>
        <v>729497</v>
      </c>
      <c r="J194" s="31">
        <v>0</v>
      </c>
      <c r="K194" s="31">
        <f>660693.2+266435.9+314986.5</f>
        <v>1242115.6000000001</v>
      </c>
      <c r="L194" s="32">
        <f t="shared" si="38"/>
        <v>4062551.9</v>
      </c>
      <c r="M194" s="31">
        <v>1136980.1000000001</v>
      </c>
      <c r="N194" s="30">
        <v>169713.6</v>
      </c>
      <c r="O194" s="32">
        <f t="shared" si="22"/>
        <v>2755858.1999999997</v>
      </c>
      <c r="P194" s="37">
        <f>25872.5+101.6</f>
        <v>25974.1</v>
      </c>
      <c r="Q194" s="32">
        <f>3886187.5+12817.4+125838.3</f>
        <v>4024843.1999999997</v>
      </c>
      <c r="R194" s="32">
        <v>239.9</v>
      </c>
      <c r="S194" s="30">
        <f t="shared" si="28"/>
        <v>4051057.1999999997</v>
      </c>
      <c r="T194" s="34">
        <f t="shared" ref="T194:T201" si="39">SUM(O194,S194)</f>
        <v>6806915.3999999994</v>
      </c>
      <c r="U194" s="30">
        <f t="shared" si="35"/>
        <v>5585371.1999999993</v>
      </c>
    </row>
    <row r="195" spans="1:23" s="36" customFormat="1" ht="18">
      <c r="A195" s="42" t="s">
        <v>86</v>
      </c>
      <c r="B195" s="31">
        <f>247173.7-948998.4</f>
        <v>-701824.7</v>
      </c>
      <c r="C195" s="31">
        <f>178751.8-710613.6</f>
        <v>-531861.80000000005</v>
      </c>
      <c r="D195" s="31">
        <f>0-378.8</f>
        <v>-378.8</v>
      </c>
      <c r="E195" s="30">
        <f t="shared" ref="E195:E200" si="40">+SUM(B195:D195)</f>
        <v>-1234065.3</v>
      </c>
      <c r="F195" s="31">
        <v>222233.2</v>
      </c>
      <c r="G195" s="31">
        <f>294107.2+1571405.7+100+120495.4</f>
        <v>1986108.2999999998</v>
      </c>
      <c r="H195" s="31"/>
      <c r="I195" s="31">
        <f>22628.3+38341.6+150000+0+0+300000+94652.5+93037.1</f>
        <v>698659.5</v>
      </c>
      <c r="J195" s="31">
        <v>0</v>
      </c>
      <c r="K195" s="31">
        <f>659764+266435.9+314986.5</f>
        <v>1241186.3999999999</v>
      </c>
      <c r="L195" s="32">
        <f t="shared" si="38"/>
        <v>4148187.4</v>
      </c>
      <c r="M195" s="31">
        <v>1123320.8999999999</v>
      </c>
      <c r="N195" s="30">
        <v>168824.2</v>
      </c>
      <c r="O195" s="32">
        <f t="shared" si="22"/>
        <v>2856042.3</v>
      </c>
      <c r="P195" s="37">
        <f>26094.3+101.6</f>
        <v>26195.899999999998</v>
      </c>
      <c r="Q195" s="32">
        <f>4173217.7+11811.1+112329.6</f>
        <v>4297358.4000000004</v>
      </c>
      <c r="R195" s="32">
        <v>1209.8000000000002</v>
      </c>
      <c r="S195" s="30">
        <f t="shared" si="28"/>
        <v>4324764.1000000006</v>
      </c>
      <c r="T195" s="34">
        <f t="shared" si="39"/>
        <v>7180806.4000000004</v>
      </c>
      <c r="U195" s="30">
        <f t="shared" si="35"/>
        <v>5946741.1000000006</v>
      </c>
    </row>
    <row r="196" spans="1:23" s="36" customFormat="1" ht="18">
      <c r="A196" s="42" t="s">
        <v>87</v>
      </c>
      <c r="B196" s="31">
        <f>295850.7-951865.4</f>
        <v>-656014.69999999995</v>
      </c>
      <c r="C196" s="31">
        <f>200322.8-739980.7</f>
        <v>-539657.89999999991</v>
      </c>
      <c r="D196" s="31">
        <f>0-378.8</f>
        <v>-378.8</v>
      </c>
      <c r="E196" s="30">
        <f t="shared" si="40"/>
        <v>-1196051.3999999999</v>
      </c>
      <c r="F196" s="31">
        <v>248030.1</v>
      </c>
      <c r="G196" s="31">
        <f>341797.7+1554285.3+100+120008.6</f>
        <v>2016191.6</v>
      </c>
      <c r="H196" s="31"/>
      <c r="I196" s="31">
        <f>22628.3+38341.6+150000+0+0+200000+94652.5+118569.7</f>
        <v>624192.1</v>
      </c>
      <c r="J196" s="31">
        <v>0</v>
      </c>
      <c r="K196" s="31">
        <f>659124.1+266435.9+314986.5</f>
        <v>1240546.5</v>
      </c>
      <c r="L196" s="32">
        <f t="shared" si="38"/>
        <v>4128960.3000000003</v>
      </c>
      <c r="M196" s="31">
        <v>1108702.8999999999</v>
      </c>
      <c r="N196" s="30">
        <v>184226.7</v>
      </c>
      <c r="O196" s="32">
        <f t="shared" si="22"/>
        <v>2836030.7</v>
      </c>
      <c r="P196" s="37">
        <f>24166.6+101.6</f>
        <v>24268.199999999997</v>
      </c>
      <c r="Q196" s="32">
        <f>4230031.9+11811.1+128069.9</f>
        <v>4369912.9000000004</v>
      </c>
      <c r="R196" s="32">
        <v>1135.1999999999998</v>
      </c>
      <c r="S196" s="30">
        <f t="shared" si="28"/>
        <v>4395316.3000000007</v>
      </c>
      <c r="T196" s="34">
        <f t="shared" si="39"/>
        <v>7231347.0000000009</v>
      </c>
      <c r="U196" s="30">
        <f t="shared" si="35"/>
        <v>6035295.6000000015</v>
      </c>
    </row>
    <row r="197" spans="1:23" s="36" customFormat="1" ht="18">
      <c r="A197" s="42" t="s">
        <v>88</v>
      </c>
      <c r="B197" s="31">
        <f>409008-970253.4</f>
        <v>-561245.4</v>
      </c>
      <c r="C197" s="31">
        <f>215883.3-809965.5</f>
        <v>-594082.19999999995</v>
      </c>
      <c r="D197" s="31">
        <f>0-378.8</f>
        <v>-378.8</v>
      </c>
      <c r="E197" s="30">
        <f t="shared" si="40"/>
        <v>-1155706.4000000001</v>
      </c>
      <c r="F197" s="31">
        <v>178920.7</v>
      </c>
      <c r="G197" s="31">
        <f>340214.7+1555762.8+100+117344.6</f>
        <v>2013422.1</v>
      </c>
      <c r="H197" s="31"/>
      <c r="I197" s="31">
        <f>22628.3+38341.6+150000+0+0+200000+94652.5+121512.7</f>
        <v>627135.1</v>
      </c>
      <c r="J197" s="31">
        <v>0</v>
      </c>
      <c r="K197" s="31">
        <f>659124.1+266435.9+314986.5</f>
        <v>1240546.5</v>
      </c>
      <c r="L197" s="32">
        <f t="shared" si="38"/>
        <v>4060024.4000000004</v>
      </c>
      <c r="M197" s="31">
        <v>1134346.8999999999</v>
      </c>
      <c r="N197" s="30">
        <v>172578.9</v>
      </c>
      <c r="O197" s="32">
        <f t="shared" si="22"/>
        <v>2753098.6000000006</v>
      </c>
      <c r="P197" s="37">
        <f>25414.1+103.8</f>
        <v>25517.899999999998</v>
      </c>
      <c r="Q197" s="32">
        <f>4259504.3+11811.1+127578.6</f>
        <v>4398893.9999999991</v>
      </c>
      <c r="R197" s="32">
        <v>1121.9000000000001</v>
      </c>
      <c r="S197" s="30">
        <f>SUM(P197:R197)</f>
        <v>4425533.8</v>
      </c>
      <c r="T197" s="34">
        <f t="shared" si="39"/>
        <v>7178632.4000000004</v>
      </c>
      <c r="U197" s="30">
        <f t="shared" si="35"/>
        <v>6022926</v>
      </c>
    </row>
    <row r="198" spans="1:23" s="36" customFormat="1" ht="18">
      <c r="A198" s="42" t="s">
        <v>90</v>
      </c>
      <c r="B198" s="31">
        <f>324181.7-975295.3</f>
        <v>-651113.60000000009</v>
      </c>
      <c r="C198" s="31">
        <f>344987.3-787413.8</f>
        <v>-442426.50000000006</v>
      </c>
      <c r="D198" s="31">
        <f>0-378.8</f>
        <v>-378.8</v>
      </c>
      <c r="E198" s="30">
        <f t="shared" si="40"/>
        <v>-1093918.9000000001</v>
      </c>
      <c r="F198" s="31">
        <v>99394.5</v>
      </c>
      <c r="G198" s="31">
        <f>423718.8+1529840.4+100+112845.9</f>
        <v>2066505.0999999999</v>
      </c>
      <c r="H198" s="31"/>
      <c r="I198" s="31">
        <f>22628.3+125355+0+38341.6+0+0+0+0+100000+0+0+200000+328306.3</f>
        <v>814631.2</v>
      </c>
      <c r="J198" s="31">
        <v>0</v>
      </c>
      <c r="K198" s="31">
        <f>657215.8+266435.8+314986.5</f>
        <v>1238638.1000000001</v>
      </c>
      <c r="L198" s="32">
        <f>+SUM(F198:K198)</f>
        <v>4219168.9000000004</v>
      </c>
      <c r="M198" s="31">
        <v>1078925</v>
      </c>
      <c r="N198" s="30">
        <v>172112.7</v>
      </c>
      <c r="O198" s="32">
        <f>+L198-M198-N198</f>
        <v>2968131.2</v>
      </c>
      <c r="P198" s="37">
        <f>24081.1+103.8</f>
        <v>24184.899999999998</v>
      </c>
      <c r="Q198" s="32">
        <f>4283161+11811.1+136010.9</f>
        <v>4430983</v>
      </c>
      <c r="R198" s="32">
        <v>1112.6000000000001</v>
      </c>
      <c r="S198" s="30">
        <f t="shared" si="28"/>
        <v>4456280.5</v>
      </c>
      <c r="T198" s="34">
        <f t="shared" si="39"/>
        <v>7424411.7000000002</v>
      </c>
      <c r="U198" s="30">
        <f t="shared" si="35"/>
        <v>6330492.7999999998</v>
      </c>
    </row>
    <row r="199" spans="1:23" s="36" customFormat="1" ht="18">
      <c r="A199" s="42" t="s">
        <v>96</v>
      </c>
      <c r="B199" s="31">
        <f>350704.8-971331.9</f>
        <v>-620627.10000000009</v>
      </c>
      <c r="C199" s="31">
        <f>241278.1-853100.5</f>
        <v>-611822.4</v>
      </c>
      <c r="D199" s="31">
        <f>0-378.8</f>
        <v>-378.8</v>
      </c>
      <c r="E199" s="30">
        <f t="shared" si="40"/>
        <v>-1232828.3</v>
      </c>
      <c r="F199" s="31">
        <v>7942.5</v>
      </c>
      <c r="G199" s="31">
        <f>411125.3+1569507.6+100+111945.9</f>
        <v>2092678.8</v>
      </c>
      <c r="H199" s="31"/>
      <c r="I199" s="31">
        <f>22628.3+38341.6+0+0+0+0+100000+0+0+200000+328306.3+128386.1+0</f>
        <v>817662.29999999993</v>
      </c>
      <c r="J199" s="31">
        <v>0</v>
      </c>
      <c r="K199" s="31">
        <f>655214.1+266435.9+314986.5</f>
        <v>1236636.5</v>
      </c>
      <c r="L199" s="32">
        <f>+SUM(F199:K199)</f>
        <v>4154920.0999999996</v>
      </c>
      <c r="M199" s="31">
        <v>1086876.1000000001</v>
      </c>
      <c r="N199" s="30">
        <v>158605.20000000001</v>
      </c>
      <c r="O199" s="32">
        <f>+L199-M199-N199</f>
        <v>2909438.7999999993</v>
      </c>
      <c r="P199" s="37">
        <f>23887.9+103.8</f>
        <v>23991.7</v>
      </c>
      <c r="Q199" s="32">
        <f>4323472.9+11811.1+133225.3</f>
        <v>4468509.3</v>
      </c>
      <c r="R199" s="32">
        <v>1094.9999999999998</v>
      </c>
      <c r="S199" s="30">
        <f t="shared" si="28"/>
        <v>4493596</v>
      </c>
      <c r="T199" s="34">
        <f t="shared" si="39"/>
        <v>7403034.7999999989</v>
      </c>
      <c r="U199" s="30">
        <f t="shared" si="35"/>
        <v>6170206.4999999991</v>
      </c>
    </row>
    <row r="200" spans="1:23" s="36" customFormat="1" ht="18">
      <c r="A200" s="42" t="s">
        <v>97</v>
      </c>
      <c r="B200" s="31">
        <v>-666662.80000000005</v>
      </c>
      <c r="C200" s="31">
        <v>-647642.5</v>
      </c>
      <c r="D200" s="31">
        <v>-378.8</v>
      </c>
      <c r="E200" s="30">
        <v>-1314684.1000000001</v>
      </c>
      <c r="F200" s="31">
        <v>17003.3</v>
      </c>
      <c r="G200" s="31">
        <v>2139022.2000000002</v>
      </c>
      <c r="H200" s="31"/>
      <c r="I200" s="31">
        <v>811656.6</v>
      </c>
      <c r="J200" s="31">
        <v>0</v>
      </c>
      <c r="K200" s="31">
        <v>1234828.3</v>
      </c>
      <c r="L200" s="32">
        <v>4202510.4000000004</v>
      </c>
      <c r="M200" s="31">
        <v>1038097.4</v>
      </c>
      <c r="N200" s="30">
        <v>189886.5</v>
      </c>
      <c r="O200" s="32">
        <v>2974526.5000000005</v>
      </c>
      <c r="P200" s="37">
        <v>24261.3</v>
      </c>
      <c r="Q200" s="32">
        <v>4479054.8</v>
      </c>
      <c r="R200" s="32">
        <v>1081.6000000000001</v>
      </c>
      <c r="S200" s="30">
        <f t="shared" ref="S200:S201" si="41">SUM(P200:R200)</f>
        <v>4504397.6999999993</v>
      </c>
      <c r="T200" s="34">
        <f t="shared" si="39"/>
        <v>7478924.1999999993</v>
      </c>
      <c r="U200" s="30">
        <f t="shared" si="35"/>
        <v>6164240.0999999996</v>
      </c>
    </row>
    <row r="201" spans="1:23" s="36" customFormat="1" ht="18">
      <c r="A201" s="42" t="s">
        <v>99</v>
      </c>
      <c r="B201" s="31">
        <v>-513773.4</v>
      </c>
      <c r="C201" s="31">
        <v>-687363.5</v>
      </c>
      <c r="D201" s="31">
        <v>-378.8</v>
      </c>
      <c r="E201" s="30">
        <v>-1201515.7</v>
      </c>
      <c r="F201" s="31">
        <v>8810.1</v>
      </c>
      <c r="G201" s="31">
        <v>2163505.7000000002</v>
      </c>
      <c r="H201" s="31"/>
      <c r="I201" s="31">
        <v>813996.6</v>
      </c>
      <c r="J201" s="31">
        <v>0</v>
      </c>
      <c r="K201" s="31">
        <v>1233257.3</v>
      </c>
      <c r="L201" s="32">
        <v>4219569.7</v>
      </c>
      <c r="M201" s="31">
        <v>1178401.2</v>
      </c>
      <c r="N201" s="30">
        <v>191157.9</v>
      </c>
      <c r="O201" s="32">
        <v>2850010.6</v>
      </c>
      <c r="P201" s="37">
        <v>25784.899999999998</v>
      </c>
      <c r="Q201" s="32">
        <v>4576249.9999999991</v>
      </c>
      <c r="R201" s="32">
        <v>1070.1000000000001</v>
      </c>
      <c r="S201" s="30">
        <f t="shared" si="41"/>
        <v>4603104.9999999991</v>
      </c>
      <c r="T201" s="34">
        <f t="shared" si="39"/>
        <v>7453115.5999999996</v>
      </c>
      <c r="U201" s="30">
        <f t="shared" si="35"/>
        <v>6251599.8999999994</v>
      </c>
    </row>
    <row r="202" spans="1:23" s="40" customFormat="1" ht="15.75">
      <c r="A202" s="48" t="s">
        <v>45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50"/>
      <c r="W202" s="36"/>
    </row>
    <row r="203" spans="1:23" s="36" customFormat="1" ht="15.75">
      <c r="A203" s="51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3"/>
    </row>
  </sheetData>
  <mergeCells count="10">
    <mergeCell ref="A202:U203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73"/>
  <sheetViews>
    <sheetView tabSelected="1" zoomScale="80" zoomScaleNormal="80" workbookViewId="0">
      <pane xSplit="1" ySplit="6" topLeftCell="N58" activePane="bottomRight" state="frozen"/>
      <selection pane="topRight" activeCell="B1" sqref="B1"/>
      <selection pane="bottomLeft" activeCell="A7" sqref="A7"/>
      <selection pane="bottomRight" activeCell="X69" sqref="X69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4" t="s">
        <v>55</v>
      </c>
      <c r="F2" s="44"/>
      <c r="G2" s="44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5" t="s">
        <v>46</v>
      </c>
      <c r="B4" s="59" t="s">
        <v>3</v>
      </c>
      <c r="C4" s="60"/>
      <c r="D4" s="60"/>
      <c r="E4" s="61"/>
      <c r="F4" s="45" t="s">
        <v>4</v>
      </c>
      <c r="G4" s="46"/>
      <c r="H4" s="46"/>
      <c r="I4" s="46"/>
      <c r="J4" s="46"/>
      <c r="K4" s="46"/>
      <c r="L4" s="46"/>
      <c r="M4" s="46"/>
      <c r="N4" s="46"/>
      <c r="O4" s="47"/>
      <c r="P4" s="45"/>
      <c r="Q4" s="46"/>
      <c r="R4" s="46"/>
      <c r="S4" s="46"/>
      <c r="T4" s="46"/>
      <c r="U4" s="56" t="s">
        <v>21</v>
      </c>
      <c r="V4" s="23"/>
    </row>
    <row r="5" spans="1:16382" s="24" customFormat="1" ht="18">
      <c r="A5" s="66"/>
      <c r="B5" s="62"/>
      <c r="C5" s="63"/>
      <c r="D5" s="63"/>
      <c r="E5" s="64"/>
      <c r="F5" s="45" t="s">
        <v>22</v>
      </c>
      <c r="G5" s="46"/>
      <c r="H5" s="46"/>
      <c r="I5" s="46"/>
      <c r="J5" s="46"/>
      <c r="K5" s="46"/>
      <c r="L5" s="46"/>
      <c r="M5" s="46"/>
      <c r="N5" s="46"/>
      <c r="O5" s="47"/>
      <c r="P5" s="45" t="s">
        <v>7</v>
      </c>
      <c r="Q5" s="46"/>
      <c r="R5" s="46"/>
      <c r="S5" s="46"/>
      <c r="T5" s="54" t="s">
        <v>0</v>
      </c>
      <c r="U5" s="57"/>
      <c r="V5" s="25"/>
    </row>
    <row r="6" spans="1:16382" s="24" customFormat="1" ht="126">
      <c r="A6" s="67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5"/>
      <c r="U6" s="58"/>
      <c r="V6" s="26"/>
    </row>
    <row r="7" spans="1:16382" s="36" customFormat="1" ht="15.75">
      <c r="A7" s="41">
        <v>39508</v>
      </c>
      <c r="B7" s="31">
        <v>60403.499999999942</v>
      </c>
      <c r="C7" s="31">
        <v>88180.9</v>
      </c>
      <c r="D7" s="31"/>
      <c r="E7" s="30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1" t="s">
        <v>2</v>
      </c>
      <c r="K7" s="31" t="s">
        <v>2</v>
      </c>
      <c r="L7" s="32">
        <f t="shared" ref="L7:L27" si="1">SUM(F7:K7)</f>
        <v>225163.59999999998</v>
      </c>
      <c r="M7" s="31">
        <v>80768</v>
      </c>
      <c r="N7" s="30">
        <v>11101.600000000002</v>
      </c>
      <c r="O7" s="32">
        <f t="shared" ref="O7:O27" si="2">L7-M7-N7</f>
        <v>133293.99999999997</v>
      </c>
      <c r="P7" s="37">
        <v>9802.6999999999989</v>
      </c>
      <c r="Q7" s="32">
        <v>220978.30000000005</v>
      </c>
      <c r="R7" s="32">
        <v>105.1</v>
      </c>
      <c r="S7" s="30">
        <f t="shared" ref="S7:S27" si="3">SUM(P7:R7)</f>
        <v>230886.10000000006</v>
      </c>
      <c r="T7" s="34">
        <f t="shared" ref="T7:T27" si="4">S7+O7</f>
        <v>364180.10000000003</v>
      </c>
      <c r="U7" s="30">
        <f t="shared" ref="U7:U27" si="5">T7+E7</f>
        <v>512764.5</v>
      </c>
    </row>
    <row r="8" spans="1:16382" s="36" customFormat="1" ht="15.75">
      <c r="A8" s="41">
        <v>39600</v>
      </c>
      <c r="B8" s="31">
        <v>56309.5</v>
      </c>
      <c r="C8" s="31">
        <v>82636.399999999994</v>
      </c>
      <c r="D8" s="31"/>
      <c r="E8" s="30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1" t="s">
        <v>2</v>
      </c>
      <c r="K8" s="31" t="s">
        <v>2</v>
      </c>
      <c r="L8" s="32">
        <f t="shared" si="1"/>
        <v>234188.4</v>
      </c>
      <c r="M8" s="31">
        <v>82103</v>
      </c>
      <c r="N8" s="30">
        <v>10096.199999999999</v>
      </c>
      <c r="O8" s="32">
        <f t="shared" si="2"/>
        <v>141989.19999999998</v>
      </c>
      <c r="P8" s="37">
        <v>12850.8</v>
      </c>
      <c r="Q8" s="32">
        <v>237857.6</v>
      </c>
      <c r="R8" s="32">
        <v>101.8</v>
      </c>
      <c r="S8" s="30">
        <f t="shared" si="3"/>
        <v>250810.19999999998</v>
      </c>
      <c r="T8" s="34">
        <f t="shared" si="4"/>
        <v>392799.39999999997</v>
      </c>
      <c r="U8" s="30">
        <f t="shared" si="5"/>
        <v>531745.29999999993</v>
      </c>
    </row>
    <row r="9" spans="1:16382" s="36" customFormat="1" ht="15.75">
      <c r="A9" s="41">
        <v>39692</v>
      </c>
      <c r="B9" s="31">
        <v>75833.299999999959</v>
      </c>
      <c r="C9" s="31">
        <v>106593.50000000003</v>
      </c>
      <c r="D9" s="31"/>
      <c r="E9" s="30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1" t="s">
        <v>2</v>
      </c>
      <c r="K9" s="31" t="s">
        <v>2</v>
      </c>
      <c r="L9" s="32">
        <f t="shared" si="1"/>
        <v>219534.69999999998</v>
      </c>
      <c r="M9" s="31">
        <v>100053.9</v>
      </c>
      <c r="N9" s="30">
        <v>9456.2000000000007</v>
      </c>
      <c r="O9" s="32">
        <f t="shared" si="2"/>
        <v>110024.59999999999</v>
      </c>
      <c r="P9" s="37">
        <v>31552.799999999999</v>
      </c>
      <c r="Q9" s="32">
        <v>254099.09999999998</v>
      </c>
      <c r="R9" s="32">
        <v>93</v>
      </c>
      <c r="S9" s="30">
        <f t="shared" si="3"/>
        <v>285744.89999999997</v>
      </c>
      <c r="T9" s="34">
        <f t="shared" si="4"/>
        <v>395769.49999999994</v>
      </c>
      <c r="U9" s="30">
        <f t="shared" si="5"/>
        <v>578196.29999999993</v>
      </c>
    </row>
    <row r="10" spans="1:16382" s="36" customFormat="1" ht="15.75">
      <c r="A10" s="41">
        <v>39783</v>
      </c>
      <c r="B10" s="31">
        <v>159092.20000000007</v>
      </c>
      <c r="C10" s="31">
        <v>95759.5</v>
      </c>
      <c r="D10" s="31"/>
      <c r="E10" s="30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1" t="s">
        <v>2</v>
      </c>
      <c r="K10" s="31" t="s">
        <v>2</v>
      </c>
      <c r="L10" s="32">
        <f t="shared" si="1"/>
        <v>238904.4</v>
      </c>
      <c r="M10" s="31">
        <v>125831.59999999999</v>
      </c>
      <c r="N10" s="30">
        <v>11736.2</v>
      </c>
      <c r="O10" s="32">
        <f t="shared" si="2"/>
        <v>101336.6</v>
      </c>
      <c r="P10" s="37">
        <v>21927.199999999997</v>
      </c>
      <c r="Q10" s="32">
        <v>261749.50000000003</v>
      </c>
      <c r="R10" s="32">
        <v>120.8</v>
      </c>
      <c r="S10" s="30">
        <f t="shared" si="3"/>
        <v>283797.5</v>
      </c>
      <c r="T10" s="34">
        <f t="shared" si="4"/>
        <v>385134.1</v>
      </c>
      <c r="U10" s="30">
        <f t="shared" si="5"/>
        <v>639985.80000000005</v>
      </c>
    </row>
    <row r="11" spans="1:16382" s="36" customFormat="1" ht="15.75">
      <c r="A11" s="41">
        <v>39873</v>
      </c>
      <c r="B11" s="31">
        <v>105784.50000000003</v>
      </c>
      <c r="C11" s="31">
        <v>92328.9</v>
      </c>
      <c r="D11" s="31"/>
      <c r="E11" s="30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1" t="s">
        <v>2</v>
      </c>
      <c r="K11" s="31" t="s">
        <v>2</v>
      </c>
      <c r="L11" s="32">
        <f t="shared" si="1"/>
        <v>230732.5</v>
      </c>
      <c r="M11" s="31">
        <v>101779.5</v>
      </c>
      <c r="N11" s="30">
        <v>10745.9</v>
      </c>
      <c r="O11" s="32">
        <f t="shared" si="2"/>
        <v>118207.1</v>
      </c>
      <c r="P11" s="37">
        <v>12695.3</v>
      </c>
      <c r="Q11" s="32">
        <v>273015.60000000003</v>
      </c>
      <c r="R11" s="32">
        <v>126.7</v>
      </c>
      <c r="S11" s="30">
        <f t="shared" si="3"/>
        <v>285837.60000000003</v>
      </c>
      <c r="T11" s="34">
        <f t="shared" si="4"/>
        <v>404044.70000000007</v>
      </c>
      <c r="U11" s="30">
        <f t="shared" si="5"/>
        <v>602158.10000000009</v>
      </c>
    </row>
    <row r="12" spans="1:16382" s="36" customFormat="1" ht="15.75">
      <c r="A12" s="41">
        <v>39965</v>
      </c>
      <c r="B12" s="31">
        <v>148241.89999999997</v>
      </c>
      <c r="C12" s="31">
        <v>88724.5</v>
      </c>
      <c r="D12" s="31"/>
      <c r="E12" s="30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1" t="s">
        <v>2</v>
      </c>
      <c r="K12" s="31" t="s">
        <v>2</v>
      </c>
      <c r="L12" s="32">
        <f t="shared" si="1"/>
        <v>263439.90000000002</v>
      </c>
      <c r="M12" s="31">
        <v>125026.4</v>
      </c>
      <c r="N12" s="30">
        <v>13685.099999999999</v>
      </c>
      <c r="O12" s="32">
        <f t="shared" si="2"/>
        <v>124728.40000000002</v>
      </c>
      <c r="P12" s="37">
        <v>10443.4</v>
      </c>
      <c r="Q12" s="32">
        <v>285914.39999999997</v>
      </c>
      <c r="R12" s="32">
        <v>142.10000000000002</v>
      </c>
      <c r="S12" s="30">
        <f t="shared" si="3"/>
        <v>296499.89999999997</v>
      </c>
      <c r="T12" s="34">
        <f t="shared" si="4"/>
        <v>421228.3</v>
      </c>
      <c r="U12" s="30">
        <f t="shared" si="5"/>
        <v>658194.69999999995</v>
      </c>
    </row>
    <row r="13" spans="1:16382" s="36" customFormat="1" ht="15.75">
      <c r="A13" s="41">
        <v>40057</v>
      </c>
      <c r="B13" s="31">
        <v>133943.70000000004</v>
      </c>
      <c r="C13" s="31">
        <v>88222.400000000009</v>
      </c>
      <c r="D13" s="31"/>
      <c r="E13" s="30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1" t="s">
        <v>2</v>
      </c>
      <c r="K13" s="31" t="s">
        <v>2</v>
      </c>
      <c r="L13" s="32">
        <f t="shared" si="1"/>
        <v>256108.79999999999</v>
      </c>
      <c r="M13" s="31">
        <v>103935.40000000001</v>
      </c>
      <c r="N13" s="30">
        <v>13697.7</v>
      </c>
      <c r="O13" s="32">
        <f t="shared" si="2"/>
        <v>138475.69999999995</v>
      </c>
      <c r="P13" s="37">
        <v>13712.800000000001</v>
      </c>
      <c r="Q13" s="32">
        <v>303197.90000000002</v>
      </c>
      <c r="R13" s="32">
        <v>396.70000000000005</v>
      </c>
      <c r="S13" s="30">
        <f t="shared" si="3"/>
        <v>317307.40000000002</v>
      </c>
      <c r="T13" s="34">
        <f t="shared" si="4"/>
        <v>455783.1</v>
      </c>
      <c r="U13" s="30">
        <f t="shared" si="5"/>
        <v>677949.2</v>
      </c>
    </row>
    <row r="14" spans="1:16382" s="36" customFormat="1" ht="15.75">
      <c r="A14" s="41">
        <v>40148</v>
      </c>
      <c r="B14" s="31">
        <v>144966.20000000007</v>
      </c>
      <c r="C14" s="31">
        <v>119531.40000000002</v>
      </c>
      <c r="D14" s="31"/>
      <c r="E14" s="30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1" t="s">
        <v>2</v>
      </c>
      <c r="K14" s="31" t="s">
        <v>2</v>
      </c>
      <c r="L14" s="32">
        <f t="shared" si="1"/>
        <v>326950.40000000002</v>
      </c>
      <c r="M14" s="31">
        <v>133925.09999999998</v>
      </c>
      <c r="N14" s="30">
        <v>14842.5</v>
      </c>
      <c r="O14" s="32">
        <f t="shared" si="2"/>
        <v>178182.80000000005</v>
      </c>
      <c r="P14" s="37">
        <v>8440.7000000000007</v>
      </c>
      <c r="Q14" s="32">
        <v>321233.5</v>
      </c>
      <c r="R14" s="32">
        <v>497.1</v>
      </c>
      <c r="S14" s="30">
        <f t="shared" si="3"/>
        <v>330171.3</v>
      </c>
      <c r="T14" s="34">
        <f t="shared" si="4"/>
        <v>508354.10000000003</v>
      </c>
      <c r="U14" s="30">
        <f t="shared" si="5"/>
        <v>772851.70000000019</v>
      </c>
    </row>
    <row r="15" spans="1:16382" s="36" customFormat="1" ht="15.75">
      <c r="A15" s="41">
        <v>40238</v>
      </c>
      <c r="B15" s="31">
        <v>136213.69999999992</v>
      </c>
      <c r="C15" s="31">
        <v>122176.10000000003</v>
      </c>
      <c r="D15" s="31"/>
      <c r="E15" s="30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2">
        <f t="shared" si="1"/>
        <v>296886.3</v>
      </c>
      <c r="M15" s="31">
        <v>137174.40000000002</v>
      </c>
      <c r="N15" s="30">
        <v>15411</v>
      </c>
      <c r="O15" s="32">
        <f t="shared" si="2"/>
        <v>144300.89999999997</v>
      </c>
      <c r="P15" s="37">
        <v>6418.5000000000009</v>
      </c>
      <c r="Q15" s="32">
        <v>342239.60000000003</v>
      </c>
      <c r="R15" s="32">
        <v>462.8</v>
      </c>
      <c r="S15" s="30">
        <f t="shared" si="3"/>
        <v>349120.9</v>
      </c>
      <c r="T15" s="34">
        <f t="shared" si="4"/>
        <v>493421.8</v>
      </c>
      <c r="U15" s="30">
        <f t="shared" si="5"/>
        <v>751811.6</v>
      </c>
    </row>
    <row r="16" spans="1:16382" s="36" customFormat="1" ht="15.75">
      <c r="A16" s="41">
        <v>40330</v>
      </c>
      <c r="B16" s="31">
        <v>94137.999999999971</v>
      </c>
      <c r="C16" s="31">
        <v>102210.99999999997</v>
      </c>
      <c r="D16" s="31"/>
      <c r="E16" s="30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2">
        <f t="shared" si="1"/>
        <v>309625.09999999998</v>
      </c>
      <c r="M16" s="31">
        <v>114248.4</v>
      </c>
      <c r="N16" s="30">
        <v>15094.000000000002</v>
      </c>
      <c r="O16" s="32">
        <f t="shared" si="2"/>
        <v>180282.69999999998</v>
      </c>
      <c r="P16" s="37">
        <v>9789</v>
      </c>
      <c r="Q16" s="32">
        <v>378377.39999999997</v>
      </c>
      <c r="R16" s="32">
        <v>512.09999999999991</v>
      </c>
      <c r="S16" s="30">
        <f t="shared" si="3"/>
        <v>388678.49999999994</v>
      </c>
      <c r="T16" s="34">
        <f t="shared" si="4"/>
        <v>568961.19999999995</v>
      </c>
      <c r="U16" s="30">
        <f t="shared" si="5"/>
        <v>765310.2</v>
      </c>
    </row>
    <row r="17" spans="1:21" s="36" customFormat="1" ht="15.75">
      <c r="A17" s="41">
        <v>40422</v>
      </c>
      <c r="B17" s="31">
        <v>69547.100000000035</v>
      </c>
      <c r="C17" s="31">
        <v>98149.299999999988</v>
      </c>
      <c r="D17" s="31"/>
      <c r="E17" s="30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2">
        <f t="shared" si="1"/>
        <v>340858.89999999997</v>
      </c>
      <c r="M17" s="31">
        <v>108989</v>
      </c>
      <c r="N17" s="30">
        <v>13247.7</v>
      </c>
      <c r="O17" s="32">
        <f t="shared" si="2"/>
        <v>218622.19999999995</v>
      </c>
      <c r="P17" s="37">
        <v>21154.600000000002</v>
      </c>
      <c r="Q17" s="32">
        <v>401374.89999999997</v>
      </c>
      <c r="R17" s="32">
        <v>647.79999999999995</v>
      </c>
      <c r="S17" s="30">
        <f t="shared" si="3"/>
        <v>423177.29999999993</v>
      </c>
      <c r="T17" s="34">
        <f t="shared" si="4"/>
        <v>641799.49999999988</v>
      </c>
      <c r="U17" s="30">
        <f t="shared" si="5"/>
        <v>809495.89999999991</v>
      </c>
    </row>
    <row r="18" spans="1:21" s="36" customFormat="1" ht="15.75">
      <c r="A18" s="41">
        <v>40513</v>
      </c>
      <c r="B18" s="31">
        <v>141613.59999999998</v>
      </c>
      <c r="C18" s="31">
        <v>112437.40000000001</v>
      </c>
      <c r="D18" s="31"/>
      <c r="E18" s="30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2">
        <f t="shared" si="1"/>
        <v>376471.9</v>
      </c>
      <c r="M18" s="31">
        <v>154442.40000000002</v>
      </c>
      <c r="N18" s="30">
        <v>11748.2</v>
      </c>
      <c r="O18" s="32">
        <f t="shared" si="2"/>
        <v>210281.3</v>
      </c>
      <c r="P18" s="37">
        <v>8682.2000000000007</v>
      </c>
      <c r="Q18" s="32">
        <v>460562.3</v>
      </c>
      <c r="R18" s="32">
        <v>599.4</v>
      </c>
      <c r="S18" s="30">
        <f t="shared" si="3"/>
        <v>469843.9</v>
      </c>
      <c r="T18" s="34">
        <f t="shared" si="4"/>
        <v>680125.2</v>
      </c>
      <c r="U18" s="30">
        <f t="shared" si="5"/>
        <v>934176.2</v>
      </c>
    </row>
    <row r="19" spans="1:21" s="36" customFormat="1" ht="15.75">
      <c r="A19" s="41">
        <v>40603</v>
      </c>
      <c r="B19" s="31">
        <v>143339.09999999998</v>
      </c>
      <c r="C19" s="31">
        <v>104483.19999999995</v>
      </c>
      <c r="D19" s="31"/>
      <c r="E19" s="30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2">
        <f t="shared" si="1"/>
        <v>353273.5</v>
      </c>
      <c r="M19" s="31">
        <v>168004.45</v>
      </c>
      <c r="N19" s="30">
        <v>9395.7999999999993</v>
      </c>
      <c r="O19" s="32">
        <f t="shared" si="2"/>
        <v>175873.25</v>
      </c>
      <c r="P19" s="37">
        <v>6471.0000000000009</v>
      </c>
      <c r="Q19" s="32">
        <v>493087.8</v>
      </c>
      <c r="R19" s="32">
        <v>599</v>
      </c>
      <c r="S19" s="30">
        <f t="shared" si="3"/>
        <v>500157.8</v>
      </c>
      <c r="T19" s="34">
        <f t="shared" si="4"/>
        <v>676031.05</v>
      </c>
      <c r="U19" s="30">
        <f t="shared" si="5"/>
        <v>923853.35</v>
      </c>
    </row>
    <row r="20" spans="1:21" s="36" customFormat="1" ht="15.75">
      <c r="A20" s="41">
        <v>40695</v>
      </c>
      <c r="B20" s="31">
        <v>133383.10000000003</v>
      </c>
      <c r="C20" s="31">
        <v>90655.799999999988</v>
      </c>
      <c r="D20" s="31"/>
      <c r="E20" s="30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2">
        <f t="shared" si="1"/>
        <v>377408.6</v>
      </c>
      <c r="M20" s="31">
        <v>178132.2</v>
      </c>
      <c r="N20" s="30">
        <v>12941</v>
      </c>
      <c r="O20" s="32">
        <f t="shared" si="2"/>
        <v>186335.39999999997</v>
      </c>
      <c r="P20" s="37">
        <v>5148.5000000000009</v>
      </c>
      <c r="Q20" s="32">
        <v>552170.20000000007</v>
      </c>
      <c r="R20" s="32">
        <v>597.5</v>
      </c>
      <c r="S20" s="30">
        <f t="shared" si="3"/>
        <v>557916.20000000007</v>
      </c>
      <c r="T20" s="34">
        <f t="shared" si="4"/>
        <v>744251.60000000009</v>
      </c>
      <c r="U20" s="30">
        <f t="shared" si="5"/>
        <v>968290.50000000012</v>
      </c>
    </row>
    <row r="21" spans="1:21" s="36" customFormat="1" ht="15.75">
      <c r="A21" s="41">
        <v>40787</v>
      </c>
      <c r="B21" s="31">
        <v>81241.400000000023</v>
      </c>
      <c r="C21" s="31">
        <v>88234.400000000023</v>
      </c>
      <c r="D21" s="31"/>
      <c r="E21" s="30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2">
        <f t="shared" si="1"/>
        <v>365834.6</v>
      </c>
      <c r="M21" s="31">
        <v>152796.54999999999</v>
      </c>
      <c r="N21" s="30">
        <v>13503.9</v>
      </c>
      <c r="O21" s="32">
        <f t="shared" si="2"/>
        <v>199534.15</v>
      </c>
      <c r="P21" s="37">
        <v>8482.0999999999985</v>
      </c>
      <c r="Q21" s="32">
        <v>592674.85</v>
      </c>
      <c r="R21" s="32">
        <v>1019.5999999999999</v>
      </c>
      <c r="S21" s="30">
        <f t="shared" si="3"/>
        <v>602176.54999999993</v>
      </c>
      <c r="T21" s="34">
        <f t="shared" si="4"/>
        <v>801710.7</v>
      </c>
      <c r="U21" s="30">
        <f t="shared" si="5"/>
        <v>971186.5</v>
      </c>
    </row>
    <row r="22" spans="1:21" s="36" customFormat="1" ht="15.75">
      <c r="A22" s="41">
        <v>40878</v>
      </c>
      <c r="B22" s="31">
        <v>82293.999999999942</v>
      </c>
      <c r="C22" s="31">
        <v>123231.6</v>
      </c>
      <c r="D22" s="31"/>
      <c r="E22" s="30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2">
        <f t="shared" si="1"/>
        <v>421250.2</v>
      </c>
      <c r="M22" s="31">
        <v>175708.5</v>
      </c>
      <c r="N22" s="30">
        <v>14154.1</v>
      </c>
      <c r="O22" s="32">
        <f t="shared" si="2"/>
        <v>231387.6</v>
      </c>
      <c r="P22" s="37">
        <v>4009.9000000000005</v>
      </c>
      <c r="Q22" s="32">
        <v>612267</v>
      </c>
      <c r="R22" s="32">
        <v>1021.9000000000001</v>
      </c>
      <c r="S22" s="30">
        <f t="shared" si="3"/>
        <v>617298.80000000005</v>
      </c>
      <c r="T22" s="34">
        <f t="shared" si="4"/>
        <v>848686.4</v>
      </c>
      <c r="U22" s="30">
        <f t="shared" si="5"/>
        <v>1054212</v>
      </c>
    </row>
    <row r="23" spans="1:21" s="36" customFormat="1" ht="15.75">
      <c r="A23" s="41">
        <v>40969</v>
      </c>
      <c r="B23" s="31">
        <v>67729.100000000093</v>
      </c>
      <c r="C23" s="31">
        <v>118491.8</v>
      </c>
      <c r="D23" s="31"/>
      <c r="E23" s="30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2">
        <f t="shared" si="1"/>
        <v>365217.69999999995</v>
      </c>
      <c r="M23" s="31">
        <v>189874.75</v>
      </c>
      <c r="N23" s="30">
        <v>16840.8</v>
      </c>
      <c r="O23" s="32">
        <f t="shared" si="2"/>
        <v>158502.14999999997</v>
      </c>
      <c r="P23" s="37">
        <v>11397</v>
      </c>
      <c r="Q23" s="32">
        <v>625626.10000000009</v>
      </c>
      <c r="R23" s="32">
        <v>943.4</v>
      </c>
      <c r="S23" s="30">
        <f t="shared" si="3"/>
        <v>637966.50000000012</v>
      </c>
      <c r="T23" s="34">
        <f t="shared" si="4"/>
        <v>796468.65000000014</v>
      </c>
      <c r="U23" s="30">
        <f t="shared" si="5"/>
        <v>982689.55000000028</v>
      </c>
    </row>
    <row r="24" spans="1:21" s="36" customFormat="1" ht="15.75">
      <c r="A24" s="41">
        <v>41061</v>
      </c>
      <c r="B24" s="31">
        <v>49308</v>
      </c>
      <c r="C24" s="31">
        <v>78556.900000000023</v>
      </c>
      <c r="D24" s="31"/>
      <c r="E24" s="30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2">
        <f t="shared" si="1"/>
        <v>364888</v>
      </c>
      <c r="M24" s="31">
        <v>146789.10000000003</v>
      </c>
      <c r="N24" s="30">
        <v>13565.2</v>
      </c>
      <c r="O24" s="32">
        <f t="shared" si="2"/>
        <v>204533.69999999995</v>
      </c>
      <c r="P24" s="37">
        <v>16232.4</v>
      </c>
      <c r="Q24" s="32">
        <v>681196.70000000007</v>
      </c>
      <c r="R24" s="32">
        <v>1005.8</v>
      </c>
      <c r="S24" s="30">
        <f t="shared" si="3"/>
        <v>698434.90000000014</v>
      </c>
      <c r="T24" s="34">
        <f t="shared" si="4"/>
        <v>902968.60000000009</v>
      </c>
      <c r="U24" s="30">
        <f t="shared" si="5"/>
        <v>1030833.5000000001</v>
      </c>
    </row>
    <row r="25" spans="1:21" s="36" customFormat="1" ht="15.75">
      <c r="A25" s="41">
        <v>41153</v>
      </c>
      <c r="B25" s="31">
        <v>55414.5</v>
      </c>
      <c r="C25" s="31">
        <v>105595.80000000003</v>
      </c>
      <c r="D25" s="31"/>
      <c r="E25" s="30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2">
        <f t="shared" si="1"/>
        <v>351693.8</v>
      </c>
      <c r="M25" s="31">
        <v>133972.04999999999</v>
      </c>
      <c r="N25" s="30">
        <v>15255.2</v>
      </c>
      <c r="O25" s="32">
        <f t="shared" si="2"/>
        <v>202466.55</v>
      </c>
      <c r="P25" s="37">
        <v>24945.899999999998</v>
      </c>
      <c r="Q25" s="32">
        <v>685471.85000000009</v>
      </c>
      <c r="R25" s="32">
        <v>1059.5</v>
      </c>
      <c r="S25" s="30">
        <f t="shared" si="3"/>
        <v>711477.25000000012</v>
      </c>
      <c r="T25" s="34">
        <f t="shared" si="4"/>
        <v>913943.8</v>
      </c>
      <c r="U25" s="30">
        <f t="shared" si="5"/>
        <v>1074954.1000000001</v>
      </c>
    </row>
    <row r="26" spans="1:21" s="36" customFormat="1" ht="15.75">
      <c r="A26" s="41">
        <v>41244</v>
      </c>
      <c r="B26" s="31">
        <v>66928.900000000023</v>
      </c>
      <c r="C26" s="31">
        <v>129708.8</v>
      </c>
      <c r="D26" s="31"/>
      <c r="E26" s="30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2">
        <f t="shared" si="1"/>
        <v>477031.9</v>
      </c>
      <c r="M26" s="31">
        <v>182803.7</v>
      </c>
      <c r="N26" s="30">
        <v>18296</v>
      </c>
      <c r="O26" s="32">
        <f t="shared" si="2"/>
        <v>275932.2</v>
      </c>
      <c r="P26" s="37">
        <v>24157.200000000001</v>
      </c>
      <c r="Q26" s="32">
        <v>683891.70000000007</v>
      </c>
      <c r="R26" s="32">
        <v>1057.9000000000001</v>
      </c>
      <c r="S26" s="30">
        <f t="shared" si="3"/>
        <v>709106.8</v>
      </c>
      <c r="T26" s="34">
        <f t="shared" si="4"/>
        <v>985039</v>
      </c>
      <c r="U26" s="30">
        <f t="shared" si="5"/>
        <v>1181676.7</v>
      </c>
    </row>
    <row r="27" spans="1:21" s="36" customFormat="1" ht="15.75">
      <c r="A27" s="41">
        <v>41334</v>
      </c>
      <c r="B27" s="31">
        <v>48746.900000000081</v>
      </c>
      <c r="C27" s="31">
        <v>149107.00000000003</v>
      </c>
      <c r="D27" s="31">
        <v>-24.299999999999997</v>
      </c>
      <c r="E27" s="30">
        <f t="shared" si="0"/>
        <v>197829.60000000012</v>
      </c>
      <c r="F27" s="31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2">
        <f t="shared" si="1"/>
        <v>471169.69999999995</v>
      </c>
      <c r="M27" s="31">
        <v>207006.84999999998</v>
      </c>
      <c r="N27" s="30">
        <v>23122.7</v>
      </c>
      <c r="O27" s="32">
        <f t="shared" si="2"/>
        <v>241040.14999999997</v>
      </c>
      <c r="P27" s="37">
        <v>27027.699999999997</v>
      </c>
      <c r="Q27" s="32">
        <v>720855.35</v>
      </c>
      <c r="R27" s="32">
        <v>1398.1999999999998</v>
      </c>
      <c r="S27" s="30">
        <f t="shared" si="3"/>
        <v>749281.24999999988</v>
      </c>
      <c r="T27" s="34">
        <f t="shared" si="4"/>
        <v>990321.39999999991</v>
      </c>
      <c r="U27" s="30">
        <f t="shared" si="5"/>
        <v>1188151</v>
      </c>
    </row>
    <row r="28" spans="1:21" s="36" customFormat="1" ht="15.75">
      <c r="A28" s="41">
        <v>41426</v>
      </c>
      <c r="B28" s="31">
        <v>56965.400000000081</v>
      </c>
      <c r="C28" s="31">
        <v>101928.40000000002</v>
      </c>
      <c r="D28" s="31">
        <v>-48.599999999999994</v>
      </c>
      <c r="E28" s="30">
        <f t="shared" ref="E28:E50" si="6">SUM(B28:D28)</f>
        <v>158845.2000000001</v>
      </c>
      <c r="F28" s="31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2">
        <f t="shared" ref="L28:L50" si="7">SUM(F28:K28)</f>
        <v>489508.3</v>
      </c>
      <c r="M28" s="31">
        <v>190482.9</v>
      </c>
      <c r="N28" s="30">
        <v>15910.9</v>
      </c>
      <c r="O28" s="32">
        <f t="shared" ref="O28:O50" si="8">L28-M28-N28</f>
        <v>283114.5</v>
      </c>
      <c r="P28" s="37">
        <v>30429.199999999997</v>
      </c>
      <c r="Q28" s="32">
        <v>726941.90000000014</v>
      </c>
      <c r="R28" s="32">
        <v>1401.7</v>
      </c>
      <c r="S28" s="30">
        <f t="shared" ref="S28:S50" si="9">SUM(P28:R28)</f>
        <v>758772.8</v>
      </c>
      <c r="T28" s="34">
        <f t="shared" ref="T28:T50" si="10">S28+O28</f>
        <v>1041887.3</v>
      </c>
      <c r="U28" s="30">
        <f t="shared" ref="U28:U50" si="11">T28+E28</f>
        <v>1200732.5000000002</v>
      </c>
    </row>
    <row r="29" spans="1:21" s="36" customFormat="1" ht="15.75">
      <c r="A29" s="41">
        <v>41518</v>
      </c>
      <c r="B29" s="31">
        <v>78410.799999999988</v>
      </c>
      <c r="C29" s="31">
        <v>86375.500000000015</v>
      </c>
      <c r="D29" s="31">
        <v>-72.899999999999991</v>
      </c>
      <c r="E29" s="30">
        <f t="shared" si="6"/>
        <v>164713.4</v>
      </c>
      <c r="F29" s="31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2">
        <f t="shared" si="7"/>
        <v>524462.80000000005</v>
      </c>
      <c r="M29" s="31">
        <v>213218.7</v>
      </c>
      <c r="N29" s="30">
        <v>21460.2</v>
      </c>
      <c r="O29" s="32">
        <f t="shared" si="8"/>
        <v>289783.90000000002</v>
      </c>
      <c r="P29" s="37">
        <v>36136.950000000004</v>
      </c>
      <c r="Q29" s="32">
        <v>759532.1</v>
      </c>
      <c r="R29" s="32">
        <v>2197.5</v>
      </c>
      <c r="S29" s="30">
        <f t="shared" si="9"/>
        <v>797866.54999999993</v>
      </c>
      <c r="T29" s="34">
        <f t="shared" si="10"/>
        <v>1087650.45</v>
      </c>
      <c r="U29" s="30">
        <f t="shared" si="11"/>
        <v>1252363.8499999999</v>
      </c>
    </row>
    <row r="30" spans="1:21" s="36" customFormat="1" ht="15.75">
      <c r="A30" s="41">
        <v>41609</v>
      </c>
      <c r="B30" s="31">
        <v>118133.79999999993</v>
      </c>
      <c r="C30" s="31">
        <v>111622.29999999997</v>
      </c>
      <c r="D30" s="31">
        <v>-97.2</v>
      </c>
      <c r="E30" s="30">
        <f t="shared" si="6"/>
        <v>229658.89999999991</v>
      </c>
      <c r="F30" s="31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2">
        <f t="shared" si="7"/>
        <v>524100.5</v>
      </c>
      <c r="M30" s="31">
        <v>227012.90000000002</v>
      </c>
      <c r="N30" s="30">
        <v>23790.1</v>
      </c>
      <c r="O30" s="32">
        <f t="shared" si="8"/>
        <v>273297.5</v>
      </c>
      <c r="P30" s="37">
        <v>36129.5</v>
      </c>
      <c r="Q30" s="32">
        <v>743181.20000000019</v>
      </c>
      <c r="R30" s="32">
        <v>2469.1999999999998</v>
      </c>
      <c r="S30" s="30">
        <f t="shared" si="9"/>
        <v>781779.90000000014</v>
      </c>
      <c r="T30" s="34">
        <f t="shared" si="10"/>
        <v>1055077.4000000001</v>
      </c>
      <c r="U30" s="30">
        <f t="shared" si="11"/>
        <v>1284736.3</v>
      </c>
    </row>
    <row r="31" spans="1:21" s="36" customFormat="1" ht="15.75">
      <c r="A31" s="41">
        <v>41699</v>
      </c>
      <c r="B31" s="31">
        <v>95018.600000000035</v>
      </c>
      <c r="C31" s="31">
        <v>115929.5</v>
      </c>
      <c r="D31" s="31">
        <v>-97.15</v>
      </c>
      <c r="E31" s="30">
        <f t="shared" si="6"/>
        <v>210850.95000000004</v>
      </c>
      <c r="F31" s="31">
        <v>8513</v>
      </c>
      <c r="G31" s="31">
        <v>108771.9</v>
      </c>
      <c r="H31" s="31"/>
      <c r="I31" s="31">
        <v>13380.9</v>
      </c>
      <c r="J31" s="31">
        <v>107284.3</v>
      </c>
      <c r="K31" s="31">
        <v>288673.7</v>
      </c>
      <c r="L31" s="32">
        <f t="shared" si="7"/>
        <v>526623.80000000005</v>
      </c>
      <c r="M31" s="31">
        <v>226231.92499999999</v>
      </c>
      <c r="N31" s="30">
        <v>17505.000000000004</v>
      </c>
      <c r="O31" s="32">
        <f t="shared" si="8"/>
        <v>282886.87500000006</v>
      </c>
      <c r="P31" s="37">
        <v>35670.550000000003</v>
      </c>
      <c r="Q31" s="32">
        <v>743101.375</v>
      </c>
      <c r="R31" s="32">
        <v>3128.7000000000003</v>
      </c>
      <c r="S31" s="30">
        <f t="shared" si="9"/>
        <v>781900.625</v>
      </c>
      <c r="T31" s="34">
        <f t="shared" si="10"/>
        <v>1064787.5</v>
      </c>
      <c r="U31" s="30">
        <f t="shared" si="11"/>
        <v>1275638.45</v>
      </c>
    </row>
    <row r="32" spans="1:21" s="36" customFormat="1" ht="15.75">
      <c r="A32" s="41">
        <v>41791</v>
      </c>
      <c r="B32" s="31">
        <v>89071.500000000116</v>
      </c>
      <c r="C32" s="31">
        <v>95701.300000000032</v>
      </c>
      <c r="D32" s="31">
        <v>-97.1</v>
      </c>
      <c r="E32" s="30">
        <f t="shared" si="6"/>
        <v>184675.70000000016</v>
      </c>
      <c r="F32" s="31">
        <v>39309.599999999999</v>
      </c>
      <c r="G32" s="31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2">
        <f t="shared" si="7"/>
        <v>587405.39999999991</v>
      </c>
      <c r="M32" s="31">
        <v>210539.85</v>
      </c>
      <c r="N32" s="30">
        <v>17287.8</v>
      </c>
      <c r="O32" s="32">
        <f t="shared" si="8"/>
        <v>359577.74999999994</v>
      </c>
      <c r="P32" s="37">
        <v>41979.700000000004</v>
      </c>
      <c r="Q32" s="32">
        <v>766726.45000000007</v>
      </c>
      <c r="R32" s="32">
        <v>3154.2</v>
      </c>
      <c r="S32" s="30">
        <f t="shared" si="9"/>
        <v>811860.35</v>
      </c>
      <c r="T32" s="34">
        <f t="shared" si="10"/>
        <v>1171438.0999999999</v>
      </c>
      <c r="U32" s="30">
        <f t="shared" si="11"/>
        <v>1356113.8</v>
      </c>
    </row>
    <row r="33" spans="1:21" s="36" customFormat="1" ht="15.75">
      <c r="A33" s="41">
        <v>41883</v>
      </c>
      <c r="B33" s="31">
        <v>142837.30000000005</v>
      </c>
      <c r="C33" s="31">
        <v>70021.499999999971</v>
      </c>
      <c r="D33" s="31">
        <v>-72.849999999999994</v>
      </c>
      <c r="E33" s="30">
        <f t="shared" si="6"/>
        <v>212785.95</v>
      </c>
      <c r="F33" s="31">
        <v>27300.1</v>
      </c>
      <c r="G33" s="31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2">
        <f t="shared" si="7"/>
        <v>595747.25</v>
      </c>
      <c r="M33" s="31">
        <v>278447.73611111112</v>
      </c>
      <c r="N33" s="30">
        <v>25072.2</v>
      </c>
      <c r="O33" s="32">
        <f t="shared" si="8"/>
        <v>292227.31388888886</v>
      </c>
      <c r="P33" s="37">
        <v>44045.2</v>
      </c>
      <c r="Q33" s="32">
        <v>785180.62499999988</v>
      </c>
      <c r="R33" s="32">
        <v>3642.8999999999996</v>
      </c>
      <c r="S33" s="30">
        <f t="shared" si="9"/>
        <v>832868.72499999986</v>
      </c>
      <c r="T33" s="34">
        <f t="shared" si="10"/>
        <v>1125096.0388888887</v>
      </c>
      <c r="U33" s="30">
        <f t="shared" si="11"/>
        <v>1337881.9888888886</v>
      </c>
    </row>
    <row r="34" spans="1:21" s="36" customFormat="1" ht="15.75">
      <c r="A34" s="41">
        <v>41974</v>
      </c>
      <c r="B34" s="31">
        <v>128675.89999999997</v>
      </c>
      <c r="C34" s="31">
        <v>51849.400000000023</v>
      </c>
      <c r="D34" s="31">
        <v>-48.6</v>
      </c>
      <c r="E34" s="30">
        <f t="shared" si="6"/>
        <v>180476.69999999998</v>
      </c>
      <c r="F34" s="31">
        <v>55186.9</v>
      </c>
      <c r="G34" s="31">
        <v>147702.70000000001</v>
      </c>
      <c r="H34" s="31"/>
      <c r="I34" s="31">
        <v>49269.8</v>
      </c>
      <c r="J34" s="31">
        <v>106976.2</v>
      </c>
      <c r="K34" s="31">
        <v>285900.5</v>
      </c>
      <c r="L34" s="32">
        <f t="shared" si="7"/>
        <v>645036.10000000009</v>
      </c>
      <c r="M34" s="31">
        <v>238856.59999999998</v>
      </c>
      <c r="N34" s="30">
        <v>23004.400000000001</v>
      </c>
      <c r="O34" s="32">
        <f t="shared" si="8"/>
        <v>383175.10000000009</v>
      </c>
      <c r="P34" s="37">
        <v>40818.700000000004</v>
      </c>
      <c r="Q34" s="32">
        <v>814694.39999999991</v>
      </c>
      <c r="R34" s="32">
        <v>3449.2999999999997</v>
      </c>
      <c r="S34" s="30">
        <f t="shared" si="9"/>
        <v>858962.39999999991</v>
      </c>
      <c r="T34" s="34">
        <f t="shared" si="10"/>
        <v>1242137.5</v>
      </c>
      <c r="U34" s="30">
        <f t="shared" si="11"/>
        <v>1422614.2</v>
      </c>
    </row>
    <row r="35" spans="1:21" s="36" customFormat="1" ht="15.75">
      <c r="A35" s="41">
        <v>42064</v>
      </c>
      <c r="B35" s="31">
        <v>115526.40000000002</v>
      </c>
      <c r="C35" s="31">
        <v>45364.599999999977</v>
      </c>
      <c r="D35" s="31">
        <v>-24.300000000000004</v>
      </c>
      <c r="E35" s="30">
        <f t="shared" si="6"/>
        <v>160866.70000000001</v>
      </c>
      <c r="F35" s="31">
        <v>23590.1</v>
      </c>
      <c r="G35" s="31">
        <v>156652.5</v>
      </c>
      <c r="H35" s="31"/>
      <c r="I35" s="31">
        <v>51794.399999999994</v>
      </c>
      <c r="J35" s="31">
        <v>104166</v>
      </c>
      <c r="K35" s="31">
        <v>284644.40000000002</v>
      </c>
      <c r="L35" s="32">
        <f t="shared" si="7"/>
        <v>620847.4</v>
      </c>
      <c r="M35" s="31">
        <v>247417.85000000003</v>
      </c>
      <c r="N35" s="30">
        <v>29000.600000000002</v>
      </c>
      <c r="O35" s="32">
        <f t="shared" si="8"/>
        <v>344428.95</v>
      </c>
      <c r="P35" s="37">
        <v>22882</v>
      </c>
      <c r="Q35" s="32">
        <v>819545.25</v>
      </c>
      <c r="R35" s="32">
        <v>3910.9</v>
      </c>
      <c r="S35" s="30">
        <f t="shared" si="9"/>
        <v>846338.15</v>
      </c>
      <c r="T35" s="34">
        <f t="shared" si="10"/>
        <v>1190767.1000000001</v>
      </c>
      <c r="U35" s="30">
        <f t="shared" si="11"/>
        <v>1351633.8</v>
      </c>
    </row>
    <row r="36" spans="1:21" s="36" customFormat="1" ht="15.75">
      <c r="A36" s="41">
        <v>42156</v>
      </c>
      <c r="B36" s="31">
        <v>11927.5</v>
      </c>
      <c r="C36" s="31">
        <v>53211.099999999977</v>
      </c>
      <c r="D36" s="31" t="s">
        <v>2</v>
      </c>
      <c r="E36" s="30">
        <f t="shared" si="6"/>
        <v>65138.599999999977</v>
      </c>
      <c r="F36" s="31">
        <v>121700.8</v>
      </c>
      <c r="G36" s="31">
        <v>166756.20000000001</v>
      </c>
      <c r="H36" s="31"/>
      <c r="I36" s="31">
        <v>48976.1</v>
      </c>
      <c r="J36" s="31">
        <v>100317.8</v>
      </c>
      <c r="K36" s="31">
        <v>282393.09999999998</v>
      </c>
      <c r="L36" s="32">
        <f t="shared" si="7"/>
        <v>720144</v>
      </c>
      <c r="M36" s="31">
        <v>229581.90000000002</v>
      </c>
      <c r="N36" s="30">
        <v>26258.899999999998</v>
      </c>
      <c r="O36" s="32">
        <f t="shared" si="8"/>
        <v>464303.19999999995</v>
      </c>
      <c r="P36" s="37">
        <v>9628.4</v>
      </c>
      <c r="Q36" s="32">
        <v>856754.29999999981</v>
      </c>
      <c r="R36" s="32">
        <v>3822.2</v>
      </c>
      <c r="S36" s="30">
        <f t="shared" si="9"/>
        <v>870204.89999999979</v>
      </c>
      <c r="T36" s="34">
        <f t="shared" si="10"/>
        <v>1334508.0999999996</v>
      </c>
      <c r="U36" s="30">
        <f t="shared" si="11"/>
        <v>1399646.6999999997</v>
      </c>
    </row>
    <row r="37" spans="1:21" s="36" customFormat="1" ht="15.75">
      <c r="A37" s="41">
        <v>42248</v>
      </c>
      <c r="B37" s="31">
        <v>-77050.099999999977</v>
      </c>
      <c r="C37" s="31">
        <v>43805.499999999942</v>
      </c>
      <c r="D37" s="31" t="s">
        <v>2</v>
      </c>
      <c r="E37" s="30">
        <f t="shared" si="6"/>
        <v>-33244.600000000035</v>
      </c>
      <c r="F37" s="31">
        <v>201450.1</v>
      </c>
      <c r="G37" s="31">
        <v>177101.60000000003</v>
      </c>
      <c r="H37" s="31"/>
      <c r="I37" s="31">
        <v>50077.969444444447</v>
      </c>
      <c r="J37" s="31">
        <v>96137.9</v>
      </c>
      <c r="K37" s="31">
        <v>280473.5</v>
      </c>
      <c r="L37" s="32">
        <f t="shared" si="7"/>
        <v>805241.0694444445</v>
      </c>
      <c r="M37" s="31">
        <v>208852.61944444446</v>
      </c>
      <c r="N37" s="30">
        <v>29497.3</v>
      </c>
      <c r="O37" s="32">
        <f t="shared" si="8"/>
        <v>566891.15</v>
      </c>
      <c r="P37" s="37">
        <v>14965.4</v>
      </c>
      <c r="Q37" s="32">
        <v>865121.3833333333</v>
      </c>
      <c r="R37" s="32">
        <v>3755.9</v>
      </c>
      <c r="S37" s="30">
        <f t="shared" si="9"/>
        <v>883842.68333333335</v>
      </c>
      <c r="T37" s="34">
        <f t="shared" si="10"/>
        <v>1450733.8333333335</v>
      </c>
      <c r="U37" s="30">
        <f t="shared" si="11"/>
        <v>1417489.2333333334</v>
      </c>
    </row>
    <row r="38" spans="1:21" s="36" customFormat="1" ht="15.75">
      <c r="A38" s="41">
        <v>42339</v>
      </c>
      <c r="B38" s="31">
        <v>-132985.60000000001</v>
      </c>
      <c r="C38" s="31">
        <v>57115.499999999971</v>
      </c>
      <c r="D38" s="31" t="s">
        <v>2</v>
      </c>
      <c r="E38" s="30">
        <f t="shared" si="6"/>
        <v>-75870.100000000035</v>
      </c>
      <c r="F38" s="31">
        <v>273246</v>
      </c>
      <c r="G38" s="31">
        <v>254809.2</v>
      </c>
      <c r="H38" s="31"/>
      <c r="I38" s="31">
        <v>50054.3</v>
      </c>
      <c r="J38" s="31">
        <v>90564.7</v>
      </c>
      <c r="K38" s="31">
        <v>277913.90000000002</v>
      </c>
      <c r="L38" s="32">
        <f t="shared" si="7"/>
        <v>946588.1</v>
      </c>
      <c r="M38" s="31">
        <v>233455.5</v>
      </c>
      <c r="N38" s="30">
        <v>26275.999999999996</v>
      </c>
      <c r="O38" s="32">
        <f t="shared" si="8"/>
        <v>686856.6</v>
      </c>
      <c r="P38" s="37">
        <v>6532.0999999999995</v>
      </c>
      <c r="Q38" s="32">
        <v>812972</v>
      </c>
      <c r="R38" s="32">
        <v>27.1</v>
      </c>
      <c r="S38" s="30">
        <f t="shared" si="9"/>
        <v>819531.2</v>
      </c>
      <c r="T38" s="34">
        <f t="shared" si="10"/>
        <v>1506387.7999999998</v>
      </c>
      <c r="U38" s="30">
        <f t="shared" si="11"/>
        <v>1430517.6999999997</v>
      </c>
    </row>
    <row r="39" spans="1:21" s="36" customFormat="1" ht="15.75">
      <c r="A39" s="41">
        <v>42430</v>
      </c>
      <c r="B39" s="31">
        <v>-194954.00000000006</v>
      </c>
      <c r="C39" s="31">
        <v>33930.199999999953</v>
      </c>
      <c r="D39" s="31" t="s">
        <v>2</v>
      </c>
      <c r="E39" s="30">
        <f t="shared" si="6"/>
        <v>-161023.8000000001</v>
      </c>
      <c r="F39" s="31">
        <v>273246</v>
      </c>
      <c r="G39" s="31">
        <v>296894.8</v>
      </c>
      <c r="H39" s="31"/>
      <c r="I39" s="31">
        <v>49389.950000000004</v>
      </c>
      <c r="J39" s="31">
        <v>86384.8</v>
      </c>
      <c r="K39" s="31">
        <v>275994.3</v>
      </c>
      <c r="L39" s="32">
        <f t="shared" si="7"/>
        <v>981909.85000000009</v>
      </c>
      <c r="M39" s="31">
        <v>231671.77500000002</v>
      </c>
      <c r="N39" s="30">
        <v>25784.100000000002</v>
      </c>
      <c r="O39" s="32">
        <f t="shared" si="8"/>
        <v>724453.97500000009</v>
      </c>
      <c r="P39" s="37">
        <v>2767.5</v>
      </c>
      <c r="Q39" s="32">
        <v>832325.4</v>
      </c>
      <c r="R39" s="32">
        <v>22.2</v>
      </c>
      <c r="S39" s="30">
        <f t="shared" si="9"/>
        <v>835115.1</v>
      </c>
      <c r="T39" s="34">
        <f t="shared" si="10"/>
        <v>1559569.0750000002</v>
      </c>
      <c r="U39" s="30">
        <f t="shared" si="11"/>
        <v>1398545.2750000001</v>
      </c>
    </row>
    <row r="40" spans="1:21" s="36" customFormat="1" ht="15.75">
      <c r="A40" s="41">
        <v>42522</v>
      </c>
      <c r="B40" s="31">
        <v>-186003.4</v>
      </c>
      <c r="C40" s="31">
        <v>20116.699999999953</v>
      </c>
      <c r="D40" s="31" t="s">
        <v>2</v>
      </c>
      <c r="E40" s="30">
        <f t="shared" si="6"/>
        <v>-165886.70000000004</v>
      </c>
      <c r="F40" s="31">
        <v>19504.700000000012</v>
      </c>
      <c r="G40" s="31">
        <v>348742.9</v>
      </c>
      <c r="H40" s="31"/>
      <c r="I40" s="31">
        <v>53066.8</v>
      </c>
      <c r="J40" s="31">
        <v>83598.2</v>
      </c>
      <c r="K40" s="31">
        <v>547320.69999999995</v>
      </c>
      <c r="L40" s="32">
        <f t="shared" si="7"/>
        <v>1052233.3</v>
      </c>
      <c r="M40" s="31">
        <v>222571.65000000002</v>
      </c>
      <c r="N40" s="30">
        <v>41471.800000000003</v>
      </c>
      <c r="O40" s="32">
        <f t="shared" si="8"/>
        <v>788189.85</v>
      </c>
      <c r="P40" s="37">
        <v>6427</v>
      </c>
      <c r="Q40" s="32">
        <v>857911.70000000007</v>
      </c>
      <c r="R40" s="32">
        <v>59.2</v>
      </c>
      <c r="S40" s="30">
        <f t="shared" si="9"/>
        <v>864397.9</v>
      </c>
      <c r="T40" s="34">
        <f t="shared" si="10"/>
        <v>1652587.75</v>
      </c>
      <c r="U40" s="30">
        <f t="shared" si="11"/>
        <v>1486701.05</v>
      </c>
    </row>
    <row r="41" spans="1:21" s="36" customFormat="1" ht="15.75">
      <c r="A41" s="41">
        <v>42614</v>
      </c>
      <c r="B41" s="31">
        <v>-181601</v>
      </c>
      <c r="C41" s="31">
        <v>-10844.799999999959</v>
      </c>
      <c r="D41" s="31" t="s">
        <v>2</v>
      </c>
      <c r="E41" s="30">
        <f t="shared" si="6"/>
        <v>-192445.79999999996</v>
      </c>
      <c r="F41" s="31">
        <v>18972.7</v>
      </c>
      <c r="G41" s="31">
        <v>390238.4</v>
      </c>
      <c r="H41" s="31"/>
      <c r="I41" s="31">
        <v>46843.899999999994</v>
      </c>
      <c r="J41" s="31">
        <v>79418.3</v>
      </c>
      <c r="K41" s="31">
        <v>546041</v>
      </c>
      <c r="L41" s="32">
        <f t="shared" si="7"/>
        <v>1081514.3</v>
      </c>
      <c r="M41" s="31">
        <v>220076.07500000001</v>
      </c>
      <c r="N41" s="30">
        <v>34600.5</v>
      </c>
      <c r="O41" s="32">
        <f t="shared" si="8"/>
        <v>826837.72500000009</v>
      </c>
      <c r="P41" s="37">
        <v>11245.4</v>
      </c>
      <c r="Q41" s="32">
        <v>872234.79999999993</v>
      </c>
      <c r="R41" s="32">
        <v>15.5</v>
      </c>
      <c r="S41" s="30">
        <f t="shared" si="9"/>
        <v>883495.7</v>
      </c>
      <c r="T41" s="34">
        <f t="shared" si="10"/>
        <v>1710333.425</v>
      </c>
      <c r="U41" s="30">
        <f t="shared" si="11"/>
        <v>1517887.625</v>
      </c>
    </row>
    <row r="42" spans="1:21" s="36" customFormat="1" ht="15.75">
      <c r="A42" s="41">
        <v>42705</v>
      </c>
      <c r="B42" s="31">
        <v>-162073.80000000002</v>
      </c>
      <c r="C42" s="31">
        <v>-14449.299999999974</v>
      </c>
      <c r="D42" s="31" t="s">
        <v>2</v>
      </c>
      <c r="E42" s="30">
        <f t="shared" si="6"/>
        <v>-176523.09999999998</v>
      </c>
      <c r="F42" s="31">
        <v>134973.1</v>
      </c>
      <c r="G42" s="31">
        <v>438079.6</v>
      </c>
      <c r="H42" s="31"/>
      <c r="I42" s="31">
        <v>37133.1</v>
      </c>
      <c r="J42" s="31">
        <v>73845.100000000006</v>
      </c>
      <c r="K42" s="31">
        <v>543481.59999999998</v>
      </c>
      <c r="L42" s="32">
        <f t="shared" si="7"/>
        <v>1227512.5</v>
      </c>
      <c r="M42" s="31">
        <v>291260.3</v>
      </c>
      <c r="N42" s="30">
        <v>30394.800000000003</v>
      </c>
      <c r="O42" s="32">
        <f t="shared" si="8"/>
        <v>905857.39999999991</v>
      </c>
      <c r="P42" s="37">
        <v>7173.4000000000005</v>
      </c>
      <c r="Q42" s="32">
        <v>854034</v>
      </c>
      <c r="R42" s="32">
        <v>57.6</v>
      </c>
      <c r="S42" s="30">
        <f t="shared" si="9"/>
        <v>861265</v>
      </c>
      <c r="T42" s="34">
        <f t="shared" si="10"/>
        <v>1767122.4</v>
      </c>
      <c r="U42" s="30">
        <f t="shared" si="11"/>
        <v>1590599.2999999998</v>
      </c>
    </row>
    <row r="43" spans="1:21" s="36" customFormat="1" ht="15.75">
      <c r="A43" s="41">
        <v>42825</v>
      </c>
      <c r="B43" s="31">
        <v>-133135.90000000002</v>
      </c>
      <c r="C43" s="31">
        <v>-31494.300000000003</v>
      </c>
      <c r="D43" s="31"/>
      <c r="E43" s="30">
        <f t="shared" si="6"/>
        <v>-164630.20000000001</v>
      </c>
      <c r="F43" s="31">
        <v>130042.5</v>
      </c>
      <c r="G43" s="31">
        <v>474831.29999999993</v>
      </c>
      <c r="H43" s="31"/>
      <c r="I43" s="31">
        <v>48614.55</v>
      </c>
      <c r="J43" s="31">
        <v>69665.100000000006</v>
      </c>
      <c r="K43" s="31">
        <v>541562</v>
      </c>
      <c r="L43" s="32">
        <f t="shared" si="7"/>
        <v>1264715.45</v>
      </c>
      <c r="M43" s="31">
        <v>247676.35</v>
      </c>
      <c r="N43" s="30">
        <v>31886.899999999998</v>
      </c>
      <c r="O43" s="32">
        <f t="shared" si="8"/>
        <v>985152.2</v>
      </c>
      <c r="P43" s="37">
        <v>6812.0999999999995</v>
      </c>
      <c r="Q43" s="32">
        <v>806759.35000000009</v>
      </c>
      <c r="R43" s="32">
        <v>58.6</v>
      </c>
      <c r="S43" s="30">
        <f t="shared" si="9"/>
        <v>813630.05</v>
      </c>
      <c r="T43" s="34">
        <f t="shared" si="10"/>
        <v>1798782.25</v>
      </c>
      <c r="U43" s="30">
        <f t="shared" si="11"/>
        <v>1634152.05</v>
      </c>
    </row>
    <row r="44" spans="1:21" s="36" customFormat="1" ht="15.75">
      <c r="A44" s="41">
        <v>42916</v>
      </c>
      <c r="B44" s="31">
        <v>-140476.99999999994</v>
      </c>
      <c r="C44" s="31">
        <v>-12640.399999999994</v>
      </c>
      <c r="D44" s="31"/>
      <c r="E44" s="30">
        <f t="shared" si="6"/>
        <v>-153117.39999999994</v>
      </c>
      <c r="F44" s="31">
        <v>141652.79999999999</v>
      </c>
      <c r="G44" s="31">
        <v>520961.5</v>
      </c>
      <c r="H44" s="31"/>
      <c r="I44" s="31">
        <v>41050</v>
      </c>
      <c r="J44" s="31">
        <v>66878.5</v>
      </c>
      <c r="K44" s="31">
        <v>540282.30000000005</v>
      </c>
      <c r="L44" s="32">
        <f t="shared" si="7"/>
        <v>1310825.1000000001</v>
      </c>
      <c r="M44" s="31">
        <v>246217.90000000002</v>
      </c>
      <c r="N44" s="30">
        <v>54196.200000000004</v>
      </c>
      <c r="O44" s="32">
        <f t="shared" si="8"/>
        <v>1010411.0000000002</v>
      </c>
      <c r="P44" s="37">
        <v>13580.699999999999</v>
      </c>
      <c r="Q44" s="32">
        <v>857454.3</v>
      </c>
      <c r="R44" s="32">
        <v>33.299999999999997</v>
      </c>
      <c r="S44" s="30">
        <f t="shared" si="9"/>
        <v>871068.3</v>
      </c>
      <c r="T44" s="34">
        <f t="shared" si="10"/>
        <v>1881479.3000000003</v>
      </c>
      <c r="U44" s="30">
        <f t="shared" si="11"/>
        <v>1728361.9000000004</v>
      </c>
    </row>
    <row r="45" spans="1:21" s="36" customFormat="1" ht="15.75">
      <c r="A45" s="41">
        <v>43008</v>
      </c>
      <c r="B45" s="31">
        <v>-134023.79999999999</v>
      </c>
      <c r="C45" s="31">
        <v>-42355.7</v>
      </c>
      <c r="D45" s="31"/>
      <c r="E45" s="30">
        <f t="shared" si="6"/>
        <v>-176379.5</v>
      </c>
      <c r="F45" s="31">
        <v>112382.3</v>
      </c>
      <c r="G45" s="31">
        <v>550738.80000000005</v>
      </c>
      <c r="H45" s="31"/>
      <c r="I45" s="31">
        <v>44013.45</v>
      </c>
      <c r="J45" s="31">
        <v>62698.6</v>
      </c>
      <c r="K45" s="31">
        <v>538362.6</v>
      </c>
      <c r="L45" s="32">
        <f t="shared" si="7"/>
        <v>1308195.75</v>
      </c>
      <c r="M45" s="31">
        <v>234692.7</v>
      </c>
      <c r="N45" s="30">
        <v>36826.199999999997</v>
      </c>
      <c r="O45" s="32">
        <f t="shared" si="8"/>
        <v>1036676.8500000001</v>
      </c>
      <c r="P45" s="37">
        <v>28033</v>
      </c>
      <c r="Q45" s="32">
        <v>893468</v>
      </c>
      <c r="R45" s="32">
        <v>56.1</v>
      </c>
      <c r="S45" s="30">
        <f t="shared" si="9"/>
        <v>921557.1</v>
      </c>
      <c r="T45" s="34">
        <f t="shared" si="10"/>
        <v>1958233.9500000002</v>
      </c>
      <c r="U45" s="30">
        <f t="shared" si="11"/>
        <v>1781854.4500000002</v>
      </c>
    </row>
    <row r="46" spans="1:21" s="36" customFormat="1" ht="15.75">
      <c r="A46" s="41">
        <v>43100</v>
      </c>
      <c r="B46" s="31">
        <v>-144480.39999999997</v>
      </c>
      <c r="C46" s="31">
        <v>-9919.6000000000058</v>
      </c>
      <c r="D46" s="31" t="s">
        <v>2</v>
      </c>
      <c r="E46" s="30">
        <f t="shared" si="6"/>
        <v>-154399.99999999997</v>
      </c>
      <c r="F46" s="31">
        <v>194279.4</v>
      </c>
      <c r="G46" s="31">
        <v>643490.6</v>
      </c>
      <c r="H46" s="31"/>
      <c r="I46" s="31">
        <v>30924.9</v>
      </c>
      <c r="J46" s="31">
        <v>57125.4</v>
      </c>
      <c r="K46" s="31">
        <v>535803.19999999995</v>
      </c>
      <c r="L46" s="32">
        <f t="shared" si="7"/>
        <v>1461623.5</v>
      </c>
      <c r="M46" s="31">
        <v>300060.10000000009</v>
      </c>
      <c r="N46" s="30">
        <v>49349</v>
      </c>
      <c r="O46" s="32">
        <f t="shared" si="8"/>
        <v>1112214.3999999999</v>
      </c>
      <c r="P46" s="37">
        <v>28762.899999999998</v>
      </c>
      <c r="Q46" s="32">
        <v>859051.5</v>
      </c>
      <c r="R46" s="32">
        <v>4937.3999999999996</v>
      </c>
      <c r="S46" s="30">
        <f t="shared" si="9"/>
        <v>892751.8</v>
      </c>
      <c r="T46" s="34">
        <f t="shared" si="10"/>
        <v>2004966.2</v>
      </c>
      <c r="U46" s="30">
        <f t="shared" si="11"/>
        <v>1850566.2</v>
      </c>
    </row>
    <row r="47" spans="1:21" s="36" customFormat="1" ht="15.75">
      <c r="A47" s="41">
        <v>43190</v>
      </c>
      <c r="B47" s="31">
        <v>-180109.99999999997</v>
      </c>
      <c r="C47" s="31">
        <v>10814.499999999913</v>
      </c>
      <c r="D47" s="31" t="s">
        <v>2</v>
      </c>
      <c r="E47" s="30">
        <f t="shared" si="6"/>
        <v>-169295.50000000006</v>
      </c>
      <c r="F47" s="31">
        <v>151279.20000000001</v>
      </c>
      <c r="G47" s="31">
        <v>716057.39999999991</v>
      </c>
      <c r="H47" s="31"/>
      <c r="I47" s="31">
        <v>39655.5</v>
      </c>
      <c r="J47" s="31">
        <v>52945.5</v>
      </c>
      <c r="K47" s="31">
        <v>533314.30000000005</v>
      </c>
      <c r="L47" s="32">
        <f t="shared" si="7"/>
        <v>1493251.9</v>
      </c>
      <c r="M47" s="31">
        <v>290474.59999999998</v>
      </c>
      <c r="N47" s="30">
        <v>56551.900000000009</v>
      </c>
      <c r="O47" s="32">
        <f t="shared" si="8"/>
        <v>1146225.3999999999</v>
      </c>
      <c r="P47" s="37">
        <v>16032.599999999999</v>
      </c>
      <c r="Q47" s="32">
        <v>887426.7</v>
      </c>
      <c r="R47" s="32">
        <v>5422.5</v>
      </c>
      <c r="S47" s="30">
        <f t="shared" si="9"/>
        <v>908881.79999999993</v>
      </c>
      <c r="T47" s="34">
        <f t="shared" si="10"/>
        <v>2055107.1999999997</v>
      </c>
      <c r="U47" s="30">
        <f t="shared" si="11"/>
        <v>1885811.6999999997</v>
      </c>
    </row>
    <row r="48" spans="1:21" s="36" customFormat="1" ht="15.75">
      <c r="A48" s="41">
        <v>43281</v>
      </c>
      <c r="B48" s="31">
        <v>-175279.1</v>
      </c>
      <c r="C48" s="31">
        <v>-25976.599999999977</v>
      </c>
      <c r="D48" s="31" t="s">
        <v>2</v>
      </c>
      <c r="E48" s="30">
        <f t="shared" si="6"/>
        <v>-201255.69999999998</v>
      </c>
      <c r="F48" s="31">
        <v>201181.6</v>
      </c>
      <c r="G48" s="31">
        <v>799117.89999999991</v>
      </c>
      <c r="H48" s="31"/>
      <c r="I48" s="31">
        <v>61935.900000000009</v>
      </c>
      <c r="J48" s="31">
        <v>50158.9</v>
      </c>
      <c r="K48" s="31">
        <v>529117.6</v>
      </c>
      <c r="L48" s="32">
        <f t="shared" si="7"/>
        <v>1641511.9</v>
      </c>
      <c r="M48" s="31">
        <v>398416.1</v>
      </c>
      <c r="N48" s="30">
        <v>53521.5</v>
      </c>
      <c r="O48" s="32">
        <f t="shared" si="8"/>
        <v>1189574.2999999998</v>
      </c>
      <c r="P48" s="37">
        <v>24405.8</v>
      </c>
      <c r="Q48" s="32">
        <v>940441</v>
      </c>
      <c r="R48" s="32">
        <v>5533.2</v>
      </c>
      <c r="S48" s="30">
        <f t="shared" si="9"/>
        <v>970380</v>
      </c>
      <c r="T48" s="34">
        <f t="shared" si="10"/>
        <v>2159954.2999999998</v>
      </c>
      <c r="U48" s="30">
        <f t="shared" si="11"/>
        <v>1958698.5999999999</v>
      </c>
    </row>
    <row r="49" spans="1:21" s="36" customFormat="1" ht="15.75">
      <c r="A49" s="41">
        <v>43373</v>
      </c>
      <c r="B49" s="31">
        <v>-185086.7</v>
      </c>
      <c r="C49" s="31">
        <v>-31906.400000000052</v>
      </c>
      <c r="D49" s="31">
        <v>-291.60000000000002</v>
      </c>
      <c r="E49" s="30">
        <f t="shared" si="6"/>
        <v>-217284.70000000007</v>
      </c>
      <c r="F49" s="31">
        <v>151767</v>
      </c>
      <c r="G49" s="31">
        <v>868808.30000000016</v>
      </c>
      <c r="H49" s="31"/>
      <c r="I49" s="31">
        <v>65477.4</v>
      </c>
      <c r="J49" s="31">
        <v>45979</v>
      </c>
      <c r="K49" s="31">
        <v>526130.1</v>
      </c>
      <c r="L49" s="32">
        <f t="shared" si="7"/>
        <v>1658161.8000000003</v>
      </c>
      <c r="M49" s="31">
        <v>353050.4</v>
      </c>
      <c r="N49" s="30">
        <v>67423.399999999994</v>
      </c>
      <c r="O49" s="32">
        <f t="shared" si="8"/>
        <v>1237688.0000000005</v>
      </c>
      <c r="P49" s="37">
        <v>32676.399999999998</v>
      </c>
      <c r="Q49" s="32">
        <v>989136.8</v>
      </c>
      <c r="R49" s="32">
        <v>5747.6</v>
      </c>
      <c r="S49" s="30">
        <f t="shared" si="9"/>
        <v>1027560.8</v>
      </c>
      <c r="T49" s="34">
        <f t="shared" si="10"/>
        <v>2265248.8000000007</v>
      </c>
      <c r="U49" s="30">
        <f t="shared" si="11"/>
        <v>2047964.1000000006</v>
      </c>
    </row>
    <row r="50" spans="1:21" s="36" customFormat="1" ht="15.75">
      <c r="A50" s="41">
        <v>43465</v>
      </c>
      <c r="B50" s="31">
        <v>-165217.1</v>
      </c>
      <c r="C50" s="31">
        <v>-37983.9</v>
      </c>
      <c r="D50" s="31" t="s">
        <v>2</v>
      </c>
      <c r="E50" s="30">
        <f t="shared" si="6"/>
        <v>-203201</v>
      </c>
      <c r="F50" s="31">
        <v>210409.1</v>
      </c>
      <c r="G50" s="31">
        <v>932439.20000000007</v>
      </c>
      <c r="H50" s="31"/>
      <c r="I50" s="31">
        <v>58884.2</v>
      </c>
      <c r="J50" s="31">
        <v>40405.800000000003</v>
      </c>
      <c r="K50" s="31">
        <v>521293.6</v>
      </c>
      <c r="L50" s="32">
        <f t="shared" si="7"/>
        <v>1763431.9</v>
      </c>
      <c r="M50" s="31">
        <v>353522.4</v>
      </c>
      <c r="N50" s="30">
        <v>72375.499999999985</v>
      </c>
      <c r="O50" s="32">
        <f t="shared" si="8"/>
        <v>1337534</v>
      </c>
      <c r="P50" s="37">
        <v>42063.6</v>
      </c>
      <c r="Q50" s="32">
        <v>983859.20000000019</v>
      </c>
      <c r="R50" s="32">
        <v>6028.8</v>
      </c>
      <c r="S50" s="30">
        <f t="shared" si="9"/>
        <v>1031951.6000000002</v>
      </c>
      <c r="T50" s="34">
        <f t="shared" si="10"/>
        <v>2369485.6</v>
      </c>
      <c r="U50" s="30">
        <f t="shared" si="11"/>
        <v>2166284.6</v>
      </c>
    </row>
    <row r="51" spans="1:21" s="36" customFormat="1" ht="15.75">
      <c r="A51" s="41">
        <v>43555</v>
      </c>
      <c r="B51" s="31">
        <v>-166782.39999999999</v>
      </c>
      <c r="C51" s="31">
        <v>-62620.70000000007</v>
      </c>
      <c r="D51" s="31" t="s">
        <v>2</v>
      </c>
      <c r="E51" s="30">
        <f t="shared" ref="E51:E52" si="12">+SUM(B51:D51)</f>
        <v>-229403.10000000006</v>
      </c>
      <c r="F51" s="31">
        <v>221728.4</v>
      </c>
      <c r="G51" s="31">
        <f>74137.1+941488.5+22035.7</f>
        <v>1037661.2999999999</v>
      </c>
      <c r="H51" s="31"/>
      <c r="I51" s="31">
        <v>66134.8</v>
      </c>
      <c r="J51" s="31">
        <v>36225.9</v>
      </c>
      <c r="K51" s="31">
        <v>518306</v>
      </c>
      <c r="L51" s="32">
        <f t="shared" ref="L51:L52" si="13">+SUM(F51:K51)</f>
        <v>1880056.4</v>
      </c>
      <c r="M51" s="31">
        <v>412450</v>
      </c>
      <c r="N51" s="30">
        <v>58269.8</v>
      </c>
      <c r="O51" s="32">
        <f t="shared" ref="O51:O58" si="14">+L51-M51-N51</f>
        <v>1409336.5999999999</v>
      </c>
      <c r="P51" s="37">
        <v>32296.6</v>
      </c>
      <c r="Q51" s="32">
        <v>1008148.3000000002</v>
      </c>
      <c r="R51" s="32">
        <v>6662.7</v>
      </c>
      <c r="S51" s="30">
        <f t="shared" ref="S51" si="15">SUM(P51:R51)</f>
        <v>1047107.6000000001</v>
      </c>
      <c r="T51" s="34">
        <f t="shared" ref="T51:T58" si="16">SUM(O51,S51)</f>
        <v>2456444.2000000002</v>
      </c>
      <c r="U51" s="30">
        <f t="shared" ref="U51:U58" si="17">SUM(E51,T51)</f>
        <v>2227041.1</v>
      </c>
    </row>
    <row r="52" spans="1:21" s="36" customFormat="1" ht="15.75">
      <c r="A52" s="41">
        <v>43646</v>
      </c>
      <c r="B52" s="31">
        <f>177153.1-298866.2</f>
        <v>-121713.1</v>
      </c>
      <c r="C52" s="31">
        <f>127120.2-199660</f>
        <v>-72539.8</v>
      </c>
      <c r="D52" s="31" t="s">
        <v>2</v>
      </c>
      <c r="E52" s="30">
        <f t="shared" si="12"/>
        <v>-194252.90000000002</v>
      </c>
      <c r="F52" s="31">
        <v>216009.2</v>
      </c>
      <c r="G52" s="31">
        <f>42174.9+1084518.3+16965</f>
        <v>1143658.2</v>
      </c>
      <c r="H52" s="31"/>
      <c r="I52" s="31">
        <v>59215</v>
      </c>
      <c r="J52" s="31">
        <v>32046</v>
      </c>
      <c r="K52" s="31">
        <v>514038.8</v>
      </c>
      <c r="L52" s="32">
        <f t="shared" si="13"/>
        <v>1964967.2</v>
      </c>
      <c r="M52" s="31">
        <v>427944.6</v>
      </c>
      <c r="N52" s="30">
        <v>62402.2</v>
      </c>
      <c r="O52" s="32">
        <f t="shared" si="14"/>
        <v>1474620.4000000001</v>
      </c>
      <c r="P52" s="37">
        <f>23367.3+101.6</f>
        <v>23468.899999999998</v>
      </c>
      <c r="Q52" s="32">
        <v>1073690.6000000001</v>
      </c>
      <c r="R52" s="32">
        <v>6546.1</v>
      </c>
      <c r="S52" s="30">
        <f t="shared" ref="S52" si="18">SUM(P52:R52)</f>
        <v>1103705.6000000001</v>
      </c>
      <c r="T52" s="34">
        <f t="shared" si="16"/>
        <v>2578326</v>
      </c>
      <c r="U52" s="30">
        <f t="shared" si="17"/>
        <v>2384073.1</v>
      </c>
    </row>
    <row r="53" spans="1:21" s="36" customFormat="1" ht="15.75">
      <c r="A53" s="41">
        <v>43738</v>
      </c>
      <c r="B53" s="31">
        <f>152229.3-295964.1</f>
        <v>-143734.79999999999</v>
      </c>
      <c r="C53" s="31">
        <f>139248.5-223096</f>
        <v>-83847.5</v>
      </c>
      <c r="D53" s="31" t="s">
        <v>2</v>
      </c>
      <c r="E53" s="30">
        <f t="shared" ref="E53:E56" si="19">+SUM(B53:D53)</f>
        <v>-227582.3</v>
      </c>
      <c r="F53" s="31">
        <v>0</v>
      </c>
      <c r="G53" s="31">
        <f>52783.1+1160384.5+28225</f>
        <v>1241392.6000000001</v>
      </c>
      <c r="H53" s="31"/>
      <c r="I53" s="31">
        <v>65322.7</v>
      </c>
      <c r="J53" s="31">
        <v>29259.4</v>
      </c>
      <c r="K53" s="31">
        <v>727629.7</v>
      </c>
      <c r="L53" s="32">
        <f t="shared" ref="L53:L56" si="20">+SUM(F53:K53)</f>
        <v>2063604.4</v>
      </c>
      <c r="M53" s="31">
        <v>478795.5</v>
      </c>
      <c r="N53" s="30">
        <v>82107.899999999994</v>
      </c>
      <c r="O53" s="32">
        <f t="shared" si="14"/>
        <v>1502701</v>
      </c>
      <c r="P53" s="37">
        <f>25516+101.6</f>
        <v>25617.599999999999</v>
      </c>
      <c r="Q53" s="32">
        <f>1098721+4652.3+44030.8</f>
        <v>1147404.1000000001</v>
      </c>
      <c r="R53" s="32">
        <v>6686.4</v>
      </c>
      <c r="S53" s="30">
        <f t="shared" ref="S53:S56" si="21">SUM(P53:R53)</f>
        <v>1179708.1000000001</v>
      </c>
      <c r="T53" s="34">
        <f t="shared" si="16"/>
        <v>2682409.1</v>
      </c>
      <c r="U53" s="30">
        <f t="shared" si="17"/>
        <v>2454826.8000000003</v>
      </c>
    </row>
    <row r="54" spans="1:21" s="36" customFormat="1" ht="15.75">
      <c r="A54" s="41">
        <v>43830</v>
      </c>
      <c r="B54" s="31">
        <v>-129390.7</v>
      </c>
      <c r="C54" s="31">
        <v>-76949.600000000006</v>
      </c>
      <c r="D54" s="31" t="s">
        <v>2</v>
      </c>
      <c r="E54" s="30">
        <f t="shared" si="19"/>
        <v>-206340.3</v>
      </c>
      <c r="F54" s="31">
        <v>0</v>
      </c>
      <c r="G54" s="31">
        <v>1341367.1000000001</v>
      </c>
      <c r="H54" s="31"/>
      <c r="I54" s="31">
        <v>70919.799999999988</v>
      </c>
      <c r="J54" s="31">
        <v>23686.2</v>
      </c>
      <c r="K54" s="31">
        <v>722793.2</v>
      </c>
      <c r="L54" s="32">
        <f t="shared" si="20"/>
        <v>2158766.2999999998</v>
      </c>
      <c r="M54" s="31">
        <v>443910.5</v>
      </c>
      <c r="N54" s="30">
        <v>95938.2</v>
      </c>
      <c r="O54" s="32">
        <f t="shared" si="14"/>
        <v>1618917.5999999999</v>
      </c>
      <c r="P54" s="37">
        <f>42076.6+101.6</f>
        <v>42178.2</v>
      </c>
      <c r="Q54" s="32">
        <v>1166031.0000000002</v>
      </c>
      <c r="R54" s="32">
        <v>458.5</v>
      </c>
      <c r="S54" s="30">
        <f t="shared" si="21"/>
        <v>1208667.7000000002</v>
      </c>
      <c r="T54" s="34">
        <f t="shared" si="16"/>
        <v>2827585.3</v>
      </c>
      <c r="U54" s="30">
        <f t="shared" si="17"/>
        <v>2621245</v>
      </c>
    </row>
    <row r="55" spans="1:21" s="36" customFormat="1" ht="15.75">
      <c r="A55" s="41">
        <v>43921</v>
      </c>
      <c r="B55" s="31">
        <f>194289.3-361308.8</f>
        <v>-167019.5</v>
      </c>
      <c r="C55" s="31">
        <f>143352.6-261170.6</f>
        <v>-117818</v>
      </c>
      <c r="D55" s="31" t="s">
        <v>2</v>
      </c>
      <c r="E55" s="30">
        <f t="shared" si="19"/>
        <v>-284837.5</v>
      </c>
      <c r="F55" s="31">
        <v>0</v>
      </c>
      <c r="G55" s="31">
        <v>1381408.1999999997</v>
      </c>
      <c r="H55" s="31"/>
      <c r="I55" s="31">
        <f>20393+103560.4</f>
        <v>123953.4</v>
      </c>
      <c r="J55" s="31">
        <v>19506.2</v>
      </c>
      <c r="K55" s="31">
        <v>719165.8</v>
      </c>
      <c r="L55" s="32">
        <f t="shared" si="20"/>
        <v>2244033.5999999996</v>
      </c>
      <c r="M55" s="31">
        <v>503862</v>
      </c>
      <c r="N55" s="30">
        <v>77027.199999999997</v>
      </c>
      <c r="O55" s="32">
        <f t="shared" si="14"/>
        <v>1663144.3999999997</v>
      </c>
      <c r="P55" s="37">
        <f>32138.3+101.6</f>
        <v>32239.899999999998</v>
      </c>
      <c r="Q55" s="32">
        <v>1212703.5999999999</v>
      </c>
      <c r="R55" s="32">
        <v>342.2</v>
      </c>
      <c r="S55" s="30">
        <f t="shared" si="21"/>
        <v>1245285.6999999997</v>
      </c>
      <c r="T55" s="34">
        <f t="shared" si="16"/>
        <v>2908430.0999999996</v>
      </c>
      <c r="U55" s="30">
        <f t="shared" si="17"/>
        <v>2623592.5999999996</v>
      </c>
    </row>
    <row r="56" spans="1:21" s="36" customFormat="1" ht="15.75">
      <c r="A56" s="41">
        <v>44012</v>
      </c>
      <c r="B56" s="31">
        <f>172739-357357.6</f>
        <v>-184618.59999999998</v>
      </c>
      <c r="C56" s="31">
        <f>128564.4-277077.4</f>
        <v>-148513.00000000003</v>
      </c>
      <c r="D56" s="31" t="s">
        <v>2</v>
      </c>
      <c r="E56" s="30">
        <f t="shared" si="19"/>
        <v>-333131.59999999998</v>
      </c>
      <c r="F56" s="31">
        <v>0</v>
      </c>
      <c r="G56" s="31">
        <v>1468858.5</v>
      </c>
      <c r="H56" s="31"/>
      <c r="I56" s="31">
        <f>16243.7+98487+5357.5</f>
        <v>120088.2</v>
      </c>
      <c r="J56" s="31">
        <v>15326.3</v>
      </c>
      <c r="K56" s="31">
        <v>715538.4</v>
      </c>
      <c r="L56" s="32">
        <f t="shared" si="20"/>
        <v>2319811.4</v>
      </c>
      <c r="M56" s="31">
        <v>441278.2</v>
      </c>
      <c r="N56" s="30">
        <v>86594.1</v>
      </c>
      <c r="O56" s="32">
        <f t="shared" si="14"/>
        <v>1791939.0999999999</v>
      </c>
      <c r="P56" s="37">
        <f>29576.4+101.6</f>
        <v>29678</v>
      </c>
      <c r="Q56" s="32">
        <v>1283209.7000000002</v>
      </c>
      <c r="R56" s="32">
        <v>328.2</v>
      </c>
      <c r="S56" s="30">
        <f t="shared" si="21"/>
        <v>1313215.9000000001</v>
      </c>
      <c r="T56" s="34">
        <f t="shared" si="16"/>
        <v>3105155</v>
      </c>
      <c r="U56" s="30">
        <f t="shared" si="17"/>
        <v>2772023.4</v>
      </c>
    </row>
    <row r="57" spans="1:21" s="36" customFormat="1" ht="16.5" customHeight="1">
      <c r="A57" s="41">
        <v>44104</v>
      </c>
      <c r="B57" s="31">
        <v>-151024.20000000001</v>
      </c>
      <c r="C57" s="31">
        <v>-128888.4</v>
      </c>
      <c r="D57" s="31" t="s">
        <v>2</v>
      </c>
      <c r="E57" s="30">
        <f t="shared" ref="E57" si="22">+SUM(B57:D57)</f>
        <v>-279912.59999999998</v>
      </c>
      <c r="F57" s="31">
        <v>0</v>
      </c>
      <c r="G57" s="31">
        <v>1539157.4000000001</v>
      </c>
      <c r="H57" s="31"/>
      <c r="I57" s="31">
        <f>19611.4+25822.8+124981.5+150000</f>
        <v>320415.7</v>
      </c>
      <c r="J57" s="31">
        <v>12539.7</v>
      </c>
      <c r="K57" s="31">
        <v>713120.2</v>
      </c>
      <c r="L57" s="32">
        <f t="shared" ref="L57" si="23">+SUM(F57:K57)</f>
        <v>2585233</v>
      </c>
      <c r="M57" s="31">
        <v>485147.2</v>
      </c>
      <c r="N57" s="30">
        <v>76753.3</v>
      </c>
      <c r="O57" s="32">
        <f t="shared" si="14"/>
        <v>2023332.4999999998</v>
      </c>
      <c r="P57" s="37">
        <f>30626.8+101.6</f>
        <v>30728.399999999998</v>
      </c>
      <c r="Q57" s="32">
        <v>1349647.4</v>
      </c>
      <c r="R57" s="32">
        <v>311</v>
      </c>
      <c r="S57" s="30">
        <f t="shared" ref="S57" si="24">SUM(P57:R57)</f>
        <v>1380686.7999999998</v>
      </c>
      <c r="T57" s="34">
        <f t="shared" si="16"/>
        <v>3404019.3</v>
      </c>
      <c r="U57" s="30">
        <f t="shared" si="17"/>
        <v>3124106.6999999997</v>
      </c>
    </row>
    <row r="58" spans="1:21" s="36" customFormat="1" ht="15.75">
      <c r="A58" s="41">
        <v>44196</v>
      </c>
      <c r="B58" s="31">
        <v>-93105.300000000017</v>
      </c>
      <c r="C58" s="31">
        <v>-111910.80000000002</v>
      </c>
      <c r="D58" s="31" t="s">
        <v>2</v>
      </c>
      <c r="E58" s="30">
        <f t="shared" ref="E58" si="25">+SUM(B58:D58)</f>
        <v>-205016.10000000003</v>
      </c>
      <c r="F58" s="31">
        <v>0</v>
      </c>
      <c r="G58" s="31">
        <v>1614167.6</v>
      </c>
      <c r="H58" s="31"/>
      <c r="I58" s="31">
        <f>18210.4+27463+120782.7+150000+2000</f>
        <v>318456.09999999998</v>
      </c>
      <c r="J58" s="31">
        <v>6921.2</v>
      </c>
      <c r="K58" s="31">
        <v>708283.6</v>
      </c>
      <c r="L58" s="32">
        <f t="shared" ref="L58" si="26">+SUM(F58:K58)</f>
        <v>2647828.5</v>
      </c>
      <c r="M58" s="31">
        <v>549158.91651699995</v>
      </c>
      <c r="N58" s="30">
        <v>72918.899999999994</v>
      </c>
      <c r="O58" s="32">
        <f t="shared" si="14"/>
        <v>2025750.6834830004</v>
      </c>
      <c r="P58" s="37">
        <f>22343.7+101.6</f>
        <v>22445.3</v>
      </c>
      <c r="Q58" s="32">
        <v>1413651.5</v>
      </c>
      <c r="R58" s="32">
        <v>1185.1999999999998</v>
      </c>
      <c r="S58" s="30">
        <f t="shared" ref="S58" si="27">SUM(P58:R58)</f>
        <v>1437282</v>
      </c>
      <c r="T58" s="34">
        <f t="shared" si="16"/>
        <v>3463032.6834830004</v>
      </c>
      <c r="U58" s="30">
        <f t="shared" si="17"/>
        <v>3258016.5834830003</v>
      </c>
    </row>
    <row r="59" spans="1:21" s="36" customFormat="1" ht="15.75">
      <c r="A59" s="41">
        <v>44286</v>
      </c>
      <c r="B59" s="31">
        <v>-119123.90000000002</v>
      </c>
      <c r="C59" s="31">
        <v>-108593.39999999997</v>
      </c>
      <c r="D59" s="31">
        <v>-81.7</v>
      </c>
      <c r="E59" s="30">
        <v>-227799</v>
      </c>
      <c r="F59" s="31">
        <v>0</v>
      </c>
      <c r="G59" s="31">
        <v>1648781.3</v>
      </c>
      <c r="H59" s="31"/>
      <c r="I59" s="31">
        <v>328747.7</v>
      </c>
      <c r="J59" s="31">
        <v>4134.6000000000004</v>
      </c>
      <c r="K59" s="31">
        <v>703262.9</v>
      </c>
      <c r="L59" s="32">
        <v>2684926.5</v>
      </c>
      <c r="M59" s="31">
        <v>570127</v>
      </c>
      <c r="N59" s="30">
        <v>79893.7</v>
      </c>
      <c r="O59" s="32">
        <v>2034905.8</v>
      </c>
      <c r="P59" s="37">
        <v>24688.199999999997</v>
      </c>
      <c r="Q59" s="32">
        <v>1524807.0000000002</v>
      </c>
      <c r="R59" s="32">
        <v>734.60000000000014</v>
      </c>
      <c r="S59" s="30">
        <v>1550229.8000000003</v>
      </c>
      <c r="T59" s="34">
        <v>3585135.6000000006</v>
      </c>
      <c r="U59" s="30">
        <v>3357336.6000000006</v>
      </c>
    </row>
    <row r="60" spans="1:21" s="36" customFormat="1" ht="15.75">
      <c r="A60" s="41">
        <v>44377</v>
      </c>
      <c r="B60" s="31">
        <v>-114588.4</v>
      </c>
      <c r="C60" s="31">
        <v>-190802.4</v>
      </c>
      <c r="D60" s="31">
        <v>-118</v>
      </c>
      <c r="E60" s="30">
        <v>-305508.8</v>
      </c>
      <c r="F60" s="31">
        <v>57076.7</v>
      </c>
      <c r="G60" s="31">
        <v>1719227.5999999999</v>
      </c>
      <c r="H60" s="31"/>
      <c r="I60" s="31">
        <v>347225.00000000006</v>
      </c>
      <c r="J60" s="31">
        <v>0</v>
      </c>
      <c r="K60" s="31">
        <v>701028.8</v>
      </c>
      <c r="L60" s="32">
        <v>2824558.0999999996</v>
      </c>
      <c r="M60" s="31">
        <v>625806.5</v>
      </c>
      <c r="N60" s="30">
        <v>82601.5</v>
      </c>
      <c r="O60" s="32">
        <v>2116150.0999999996</v>
      </c>
      <c r="P60" s="37">
        <v>26228.6</v>
      </c>
      <c r="Q60" s="32">
        <v>1724195.7</v>
      </c>
      <c r="R60" s="32">
        <v>5539.4</v>
      </c>
      <c r="S60" s="30">
        <v>1755963.7</v>
      </c>
      <c r="T60" s="34">
        <v>3872113.8</v>
      </c>
      <c r="U60" s="30">
        <v>3566605</v>
      </c>
    </row>
    <row r="61" spans="1:21" s="36" customFormat="1" ht="15.75">
      <c r="A61" s="41">
        <v>44469</v>
      </c>
      <c r="B61" s="31">
        <v>-150538.59999999998</v>
      </c>
      <c r="C61" s="31">
        <v>-254415.30000000002</v>
      </c>
      <c r="D61" s="31">
        <v>-210</v>
      </c>
      <c r="E61" s="30">
        <v>-405163.9</v>
      </c>
      <c r="F61" s="31">
        <v>0</v>
      </c>
      <c r="G61" s="31">
        <v>1831324.1</v>
      </c>
      <c r="H61" s="31"/>
      <c r="I61" s="31">
        <v>347172.2</v>
      </c>
      <c r="J61" s="31">
        <v>0</v>
      </c>
      <c r="K61" s="31">
        <v>697339.3</v>
      </c>
      <c r="L61" s="32">
        <v>2875835.6000000006</v>
      </c>
      <c r="M61" s="31">
        <v>649481.6</v>
      </c>
      <c r="N61" s="30">
        <v>82805.899999999994</v>
      </c>
      <c r="O61" s="32">
        <v>2143548.1000000006</v>
      </c>
      <c r="P61" s="37">
        <v>25714.199999999997</v>
      </c>
      <c r="Q61" s="32">
        <v>2139643.5</v>
      </c>
      <c r="R61" s="32">
        <v>337.9</v>
      </c>
      <c r="S61" s="30">
        <v>2165695.6</v>
      </c>
      <c r="T61" s="34">
        <v>4309243.7000000011</v>
      </c>
      <c r="U61" s="30">
        <v>3904079.8000000012</v>
      </c>
    </row>
    <row r="62" spans="1:21" s="36" customFormat="1" ht="15.75">
      <c r="A62" s="41">
        <v>44561</v>
      </c>
      <c r="B62" s="31">
        <v>-141348.09999999998</v>
      </c>
      <c r="C62" s="31">
        <v>-181042.40000000002</v>
      </c>
      <c r="D62" s="31">
        <v>0</v>
      </c>
      <c r="E62" s="30">
        <v>-322390.5</v>
      </c>
      <c r="F62" s="31">
        <v>36124.9</v>
      </c>
      <c r="G62" s="31">
        <v>1816057.7</v>
      </c>
      <c r="H62" s="31"/>
      <c r="I62" s="31">
        <v>290056.7</v>
      </c>
      <c r="J62" s="31">
        <v>0</v>
      </c>
      <c r="K62" s="31">
        <v>690961.7</v>
      </c>
      <c r="L62" s="32">
        <v>2833201</v>
      </c>
      <c r="M62" s="31">
        <v>826676.3</v>
      </c>
      <c r="N62" s="30">
        <v>75800.899999999994</v>
      </c>
      <c r="O62" s="32">
        <v>1930723.8</v>
      </c>
      <c r="P62" s="37">
        <v>25121</v>
      </c>
      <c r="Q62" s="32">
        <v>2351611.3000000003</v>
      </c>
      <c r="R62" s="32">
        <v>256.5</v>
      </c>
      <c r="S62" s="30">
        <v>2376988.8000000003</v>
      </c>
      <c r="T62" s="34">
        <v>4307712.6000000006</v>
      </c>
      <c r="U62" s="30">
        <v>3985322.1000000006</v>
      </c>
    </row>
    <row r="63" spans="1:21" s="36" customFormat="1" ht="18">
      <c r="A63" s="41" t="s">
        <v>66</v>
      </c>
      <c r="B63" s="31">
        <v>-113493.90000000002</v>
      </c>
      <c r="C63" s="31">
        <v>-194680.9</v>
      </c>
      <c r="D63" s="31">
        <v>0</v>
      </c>
      <c r="E63" s="30">
        <v>-308174.80000000005</v>
      </c>
      <c r="F63" s="31">
        <v>32028.5</v>
      </c>
      <c r="G63" s="31">
        <v>1833166.5</v>
      </c>
      <c r="H63" s="31"/>
      <c r="I63" s="31">
        <v>429373.89999999997</v>
      </c>
      <c r="J63" s="31">
        <v>0</v>
      </c>
      <c r="K63" s="31">
        <v>690433.4</v>
      </c>
      <c r="L63" s="32">
        <v>2985002.3</v>
      </c>
      <c r="M63" s="31">
        <v>950524.7</v>
      </c>
      <c r="N63" s="30">
        <v>118394.9</v>
      </c>
      <c r="O63" s="32">
        <v>1916082.7</v>
      </c>
      <c r="P63" s="37">
        <v>24010.399999999998</v>
      </c>
      <c r="Q63" s="32">
        <v>2537250.1</v>
      </c>
      <c r="R63" s="32">
        <v>238.4</v>
      </c>
      <c r="S63" s="30">
        <v>2561498.9</v>
      </c>
      <c r="T63" s="34">
        <v>4477581.5999999996</v>
      </c>
      <c r="U63" s="30">
        <v>4169406.8</v>
      </c>
    </row>
    <row r="64" spans="1:21" s="36" customFormat="1" ht="18">
      <c r="A64" s="41" t="s">
        <v>69</v>
      </c>
      <c r="B64" s="31">
        <v>-232158.59999999998</v>
      </c>
      <c r="C64" s="31">
        <v>-190483.3</v>
      </c>
      <c r="D64" s="31">
        <v>0</v>
      </c>
      <c r="E64" s="30">
        <v>-422641.89999999997</v>
      </c>
      <c r="F64" s="31">
        <v>266435.90000000002</v>
      </c>
      <c r="G64" s="31">
        <v>1777341.7</v>
      </c>
      <c r="H64" s="31"/>
      <c r="I64" s="31">
        <v>524312.9</v>
      </c>
      <c r="J64" s="31">
        <v>0</v>
      </c>
      <c r="K64" s="31">
        <v>686729.1</v>
      </c>
      <c r="L64" s="32">
        <v>3254819.6</v>
      </c>
      <c r="M64" s="31">
        <v>905749</v>
      </c>
      <c r="N64" s="30">
        <v>120078.3</v>
      </c>
      <c r="O64" s="32">
        <v>2228992.3000000003</v>
      </c>
      <c r="P64" s="37">
        <v>24195.1</v>
      </c>
      <c r="Q64" s="32">
        <v>2882825.3</v>
      </c>
      <c r="R64" s="32">
        <v>6839.5000000000009</v>
      </c>
      <c r="S64" s="30">
        <v>2913859.9</v>
      </c>
      <c r="T64" s="34">
        <v>5142852.2</v>
      </c>
      <c r="U64" s="30">
        <v>4720210.3</v>
      </c>
    </row>
    <row r="65" spans="1:22" s="36" customFormat="1" ht="18">
      <c r="A65" s="43" t="s">
        <v>71</v>
      </c>
      <c r="B65" s="31">
        <v>-252190.40000000002</v>
      </c>
      <c r="C65" s="31">
        <v>-326772.79999999993</v>
      </c>
      <c r="D65" s="31">
        <v>0</v>
      </c>
      <c r="E65" s="30">
        <v>-578963.19999999995</v>
      </c>
      <c r="F65" s="31">
        <v>82611.8</v>
      </c>
      <c r="G65" s="31">
        <v>1832259.9</v>
      </c>
      <c r="H65" s="31"/>
      <c r="I65" s="31">
        <v>812437.6</v>
      </c>
      <c r="J65" s="31">
        <v>0</v>
      </c>
      <c r="K65" s="31">
        <v>956869.3</v>
      </c>
      <c r="L65" s="32">
        <v>3684178.5999999996</v>
      </c>
      <c r="M65" s="31">
        <v>1027904.5</v>
      </c>
      <c r="N65" s="30">
        <v>123234.2</v>
      </c>
      <c r="O65" s="32">
        <v>2533039.8999999994</v>
      </c>
      <c r="P65" s="37">
        <v>24189.1</v>
      </c>
      <c r="Q65" s="32">
        <v>3203720.8</v>
      </c>
      <c r="R65" s="32">
        <v>829.2</v>
      </c>
      <c r="S65" s="30">
        <v>3228739.1</v>
      </c>
      <c r="T65" s="34">
        <v>5761779</v>
      </c>
      <c r="U65" s="30">
        <v>5182815.8</v>
      </c>
    </row>
    <row r="66" spans="1:22" s="36" customFormat="1" ht="18">
      <c r="A66" s="43" t="s">
        <v>72</v>
      </c>
      <c r="B66" s="31">
        <v>-252046.90000000002</v>
      </c>
      <c r="C66" s="31">
        <v>-309521.5</v>
      </c>
      <c r="D66" s="31">
        <v>-357.9</v>
      </c>
      <c r="E66" s="30">
        <f t="shared" ref="E66" si="28">+SUM(B66:D66)</f>
        <v>-561926.30000000005</v>
      </c>
      <c r="F66" s="31">
        <v>3346.5</v>
      </c>
      <c r="G66" s="31">
        <v>1994536.9</v>
      </c>
      <c r="H66" s="31"/>
      <c r="I66" s="31">
        <v>875209.5</v>
      </c>
      <c r="J66" s="31">
        <v>0</v>
      </c>
      <c r="K66" s="31">
        <v>941229</v>
      </c>
      <c r="L66" s="32">
        <v>3814321.9</v>
      </c>
      <c r="M66" s="31">
        <v>1152725.8999999999</v>
      </c>
      <c r="N66" s="30">
        <v>128898.4</v>
      </c>
      <c r="O66" s="32">
        <v>2532697.6</v>
      </c>
      <c r="P66" s="37">
        <v>23718</v>
      </c>
      <c r="Q66" s="32">
        <v>3388341.2</v>
      </c>
      <c r="R66" s="32">
        <v>167.9</v>
      </c>
      <c r="S66" s="30">
        <v>3412227.1</v>
      </c>
      <c r="T66" s="34">
        <v>5944924.7000000002</v>
      </c>
      <c r="U66" s="30">
        <f t="shared" ref="U66:U67" si="29">SUM(E66,T66)</f>
        <v>5382998.4000000004</v>
      </c>
    </row>
    <row r="67" spans="1:22" s="36" customFormat="1" ht="18">
      <c r="A67" s="43" t="s">
        <v>92</v>
      </c>
      <c r="B67" s="31">
        <f>400217.3-680857</f>
        <v>-280639.7</v>
      </c>
      <c r="C67" s="31">
        <f>190422.1-494952.9</f>
        <v>-304530.80000000005</v>
      </c>
      <c r="D67" s="31">
        <f>0-0</f>
        <v>0</v>
      </c>
      <c r="E67" s="30">
        <f t="shared" ref="E67" si="30">+SUM(B67:D67)</f>
        <v>-585170.5</v>
      </c>
      <c r="F67" s="31">
        <v>0</v>
      </c>
      <c r="G67" s="31">
        <f>278906.5+1595305.7+100+215081.3</f>
        <v>2089393.5</v>
      </c>
      <c r="H67" s="31"/>
      <c r="I67" s="31">
        <f>20802.9+105453.6+0+76116.6+0+11776.6+0+0+150000+120000+39650.2+300000+94652.5</f>
        <v>918452.4</v>
      </c>
      <c r="J67" s="31">
        <v>0</v>
      </c>
      <c r="K67" s="31">
        <f>669762.3+266435.7</f>
        <v>936198</v>
      </c>
      <c r="L67" s="32">
        <f t="shared" ref="L67" si="31">+SUM(F67:K67)</f>
        <v>3944043.9</v>
      </c>
      <c r="M67" s="31">
        <v>1217275</v>
      </c>
      <c r="N67" s="30">
        <v>92302.1</v>
      </c>
      <c r="O67" s="32">
        <f t="shared" ref="O67" si="32">+L67-M67-N67</f>
        <v>2634466.7999999998</v>
      </c>
      <c r="P67" s="37">
        <f>25276.5+101.6</f>
        <v>25378.1</v>
      </c>
      <c r="Q67" s="32">
        <f>3372551.6+9446.9+85726.7</f>
        <v>3467725.2</v>
      </c>
      <c r="R67" s="32">
        <v>301.89999999999998</v>
      </c>
      <c r="S67" s="30">
        <f t="shared" ref="S67" si="33">SUM(P67:R67)</f>
        <v>3493405.2</v>
      </c>
      <c r="T67" s="34">
        <f t="shared" ref="T67" si="34">SUM(O67,S67)</f>
        <v>6127872</v>
      </c>
      <c r="U67" s="30">
        <f t="shared" si="29"/>
        <v>5542701.5</v>
      </c>
    </row>
    <row r="68" spans="1:22" s="36" customFormat="1" ht="18">
      <c r="A68" s="43" t="s">
        <v>93</v>
      </c>
      <c r="B68" s="31">
        <v>-532892</v>
      </c>
      <c r="C68" s="31">
        <v>-459070.50000000006</v>
      </c>
      <c r="D68" s="31">
        <v>-344.1</v>
      </c>
      <c r="E68" s="30">
        <v>-992306.6</v>
      </c>
      <c r="F68" s="31">
        <v>314986.5</v>
      </c>
      <c r="G68" s="31">
        <v>2012225.4999999998</v>
      </c>
      <c r="H68" s="31"/>
      <c r="I68" s="31">
        <v>773286.7</v>
      </c>
      <c r="J68" s="31">
        <v>0</v>
      </c>
      <c r="K68" s="31">
        <v>930266.5</v>
      </c>
      <c r="L68" s="32">
        <v>4030765.2</v>
      </c>
      <c r="M68" s="31">
        <v>1101488.7</v>
      </c>
      <c r="N68" s="30">
        <v>182718.6</v>
      </c>
      <c r="O68" s="32">
        <v>2746557.9</v>
      </c>
      <c r="P68" s="37">
        <v>25644.199999999997</v>
      </c>
      <c r="Q68" s="32">
        <v>3793951.9</v>
      </c>
      <c r="R68" s="32">
        <v>277.5</v>
      </c>
      <c r="S68" s="30">
        <v>3819873.6</v>
      </c>
      <c r="T68" s="34">
        <v>6566431.5</v>
      </c>
      <c r="U68" s="30">
        <v>5574124.9000000004</v>
      </c>
    </row>
    <row r="69" spans="1:22" s="36" customFormat="1" ht="18">
      <c r="A69" s="43" t="s">
        <v>94</v>
      </c>
      <c r="B69" s="31">
        <v>-701824.7</v>
      </c>
      <c r="C69" s="31">
        <v>-531861.80000000005</v>
      </c>
      <c r="D69" s="31">
        <v>-378.8</v>
      </c>
      <c r="E69" s="30">
        <v>-1234065.3</v>
      </c>
      <c r="F69" s="31">
        <v>222233.2</v>
      </c>
      <c r="G69" s="31">
        <v>1986108.2999999998</v>
      </c>
      <c r="H69" s="31"/>
      <c r="I69" s="31">
        <v>698659.5</v>
      </c>
      <c r="J69" s="31">
        <v>0</v>
      </c>
      <c r="K69" s="31">
        <v>1241186.3999999999</v>
      </c>
      <c r="L69" s="32">
        <v>4148187.4</v>
      </c>
      <c r="M69" s="31">
        <v>1123320.8999999999</v>
      </c>
      <c r="N69" s="30">
        <v>168824.2</v>
      </c>
      <c r="O69" s="32">
        <v>2856042.3</v>
      </c>
      <c r="P69" s="37">
        <v>26195.899999999998</v>
      </c>
      <c r="Q69" s="32">
        <v>4297358.4000000004</v>
      </c>
      <c r="R69" s="32">
        <v>1209.8000000000002</v>
      </c>
      <c r="S69" s="30">
        <v>4324764.1000000006</v>
      </c>
      <c r="T69" s="34">
        <v>7180806.4000000004</v>
      </c>
      <c r="U69" s="30">
        <v>5946741.1000000006</v>
      </c>
    </row>
    <row r="70" spans="1:22" s="36" customFormat="1" ht="18">
      <c r="A70" s="43" t="s">
        <v>95</v>
      </c>
      <c r="B70" s="31">
        <v>-651113.60000000009</v>
      </c>
      <c r="C70" s="31">
        <v>-442426.50000000006</v>
      </c>
      <c r="D70" s="31">
        <v>-378.8</v>
      </c>
      <c r="E70" s="30">
        <v>-1093918.9000000001</v>
      </c>
      <c r="F70" s="31">
        <v>99394.5</v>
      </c>
      <c r="G70" s="31">
        <v>2066505.0999999999</v>
      </c>
      <c r="H70" s="31"/>
      <c r="I70" s="31">
        <v>814631.2</v>
      </c>
      <c r="J70" s="31">
        <v>0</v>
      </c>
      <c r="K70" s="31">
        <v>1238638.1000000001</v>
      </c>
      <c r="L70" s="32">
        <v>4219168.9000000004</v>
      </c>
      <c r="M70" s="31">
        <v>1078925</v>
      </c>
      <c r="N70" s="30">
        <v>172112.7</v>
      </c>
      <c r="O70" s="32">
        <v>2968131.2</v>
      </c>
      <c r="P70" s="37">
        <v>24184.899999999998</v>
      </c>
      <c r="Q70" s="32">
        <v>4430983</v>
      </c>
      <c r="R70" s="32">
        <v>1112.6000000000001</v>
      </c>
      <c r="S70" s="30">
        <v>4456280.5</v>
      </c>
      <c r="T70" s="34">
        <v>7424411.7000000002</v>
      </c>
      <c r="U70" s="30">
        <v>6330492.7999999998</v>
      </c>
    </row>
    <row r="71" spans="1:22" s="36" customFormat="1" ht="18">
      <c r="A71" s="42" t="s">
        <v>99</v>
      </c>
      <c r="B71" s="31">
        <v>-513773.4</v>
      </c>
      <c r="C71" s="31">
        <v>-687363.5</v>
      </c>
      <c r="D71" s="31">
        <v>-378.8</v>
      </c>
      <c r="E71" s="30">
        <v>-1201515.7</v>
      </c>
      <c r="F71" s="31">
        <v>8810.1</v>
      </c>
      <c r="G71" s="31">
        <v>2163505.7000000002</v>
      </c>
      <c r="H71" s="31"/>
      <c r="I71" s="31">
        <v>813996.6</v>
      </c>
      <c r="J71" s="31">
        <v>0</v>
      </c>
      <c r="K71" s="31">
        <v>1233257.3</v>
      </c>
      <c r="L71" s="32">
        <v>4219569.7</v>
      </c>
      <c r="M71" s="31">
        <v>1178401.2</v>
      </c>
      <c r="N71" s="30">
        <v>191157.9</v>
      </c>
      <c r="O71" s="32">
        <v>2850010.6</v>
      </c>
      <c r="P71" s="37">
        <v>25784.899999999998</v>
      </c>
      <c r="Q71" s="32">
        <v>4576249.9999999991</v>
      </c>
      <c r="R71" s="32">
        <v>1070.1000000000001</v>
      </c>
      <c r="S71" s="30">
        <f t="shared" ref="S71" si="35">SUM(P71:R71)</f>
        <v>4603104.9999999991</v>
      </c>
      <c r="T71" s="34">
        <f t="shared" ref="T71" si="36">SUM(O71,S71)</f>
        <v>7453115.5999999996</v>
      </c>
      <c r="U71" s="30">
        <f t="shared" ref="U71" si="37">SUM(E71,T71)</f>
        <v>6251599.8999999994</v>
      </c>
    </row>
    <row r="72" spans="1:22" s="36" customFormat="1" ht="15.75">
      <c r="A72" s="48" t="s">
        <v>45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50"/>
      <c r="V72" s="35"/>
    </row>
    <row r="73" spans="1:22" s="36" customFormat="1" ht="15.7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3"/>
      <c r="V73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72:U7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4"/>
  <sheetViews>
    <sheetView zoomScale="80" zoomScaleNormal="80" workbookViewId="0">
      <pane xSplit="1" ySplit="6" topLeftCell="Q13" activePane="bottomRight" state="frozen"/>
      <selection pane="topRight" activeCell="B1" sqref="B1"/>
      <selection pane="bottomLeft" activeCell="A7" sqref="A7"/>
      <selection pane="bottomRight" activeCell="R26" sqref="R26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4" t="s">
        <v>55</v>
      </c>
      <c r="F2" s="44"/>
      <c r="G2" s="44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5" t="s">
        <v>46</v>
      </c>
      <c r="B4" s="59" t="s">
        <v>3</v>
      </c>
      <c r="C4" s="60"/>
      <c r="D4" s="60"/>
      <c r="E4" s="61"/>
      <c r="F4" s="45" t="s">
        <v>4</v>
      </c>
      <c r="G4" s="46"/>
      <c r="H4" s="46"/>
      <c r="I4" s="46"/>
      <c r="J4" s="46"/>
      <c r="K4" s="46"/>
      <c r="L4" s="46"/>
      <c r="M4" s="46"/>
      <c r="N4" s="46"/>
      <c r="O4" s="47"/>
      <c r="P4" s="45"/>
      <c r="Q4" s="46"/>
      <c r="R4" s="46"/>
      <c r="S4" s="46"/>
      <c r="T4" s="46"/>
      <c r="U4" s="56" t="s">
        <v>21</v>
      </c>
      <c r="V4" s="23"/>
    </row>
    <row r="5" spans="1:22" s="24" customFormat="1" ht="18">
      <c r="A5" s="66"/>
      <c r="B5" s="62"/>
      <c r="C5" s="63"/>
      <c r="D5" s="63"/>
      <c r="E5" s="64"/>
      <c r="F5" s="45" t="s">
        <v>22</v>
      </c>
      <c r="G5" s="46"/>
      <c r="H5" s="46"/>
      <c r="I5" s="46"/>
      <c r="J5" s="46"/>
      <c r="K5" s="46"/>
      <c r="L5" s="46"/>
      <c r="M5" s="46"/>
      <c r="N5" s="46"/>
      <c r="O5" s="47"/>
      <c r="P5" s="45" t="s">
        <v>7</v>
      </c>
      <c r="Q5" s="46"/>
      <c r="R5" s="46"/>
      <c r="S5" s="46"/>
      <c r="T5" s="54" t="s">
        <v>0</v>
      </c>
      <c r="U5" s="57"/>
      <c r="V5" s="25"/>
    </row>
    <row r="6" spans="1:22" s="24" customFormat="1" ht="90">
      <c r="A6" s="67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5"/>
      <c r="U6" s="58"/>
      <c r="V6" s="26"/>
    </row>
    <row r="7" spans="1:22" s="36" customFormat="1" ht="15.75">
      <c r="A7" s="38">
        <v>2008</v>
      </c>
      <c r="B7" s="30">
        <v>159092.20000000007</v>
      </c>
      <c r="C7" s="30">
        <v>95759.5</v>
      </c>
      <c r="D7" s="30"/>
      <c r="E7" s="30">
        <f t="shared" ref="E7:E15" si="0">SUM(B7:D7)</f>
        <v>254851.70000000007</v>
      </c>
      <c r="F7" s="30">
        <v>170798.9</v>
      </c>
      <c r="G7" s="30">
        <v>58561</v>
      </c>
      <c r="H7" s="30" t="s">
        <v>2</v>
      </c>
      <c r="I7" s="30">
        <v>9544.5</v>
      </c>
      <c r="J7" s="31" t="s">
        <v>2</v>
      </c>
      <c r="K7" s="31" t="s">
        <v>2</v>
      </c>
      <c r="L7" s="32">
        <f t="shared" ref="L7:L15" si="1">SUM(F7:K7)</f>
        <v>238904.4</v>
      </c>
      <c r="M7" s="33">
        <v>125831.59999999999</v>
      </c>
      <c r="N7" s="30">
        <v>11736.2</v>
      </c>
      <c r="O7" s="32">
        <f t="shared" ref="O7:O15" si="2">L7-M7-N7</f>
        <v>101336.6</v>
      </c>
      <c r="P7" s="30">
        <v>21927.199999999997</v>
      </c>
      <c r="Q7" s="30">
        <v>261749.50000000003</v>
      </c>
      <c r="R7" s="32">
        <v>120.8</v>
      </c>
      <c r="S7" s="30">
        <f t="shared" ref="S7:S15" si="3">SUM(P7:R7)</f>
        <v>283797.5</v>
      </c>
      <c r="T7" s="34">
        <f t="shared" ref="T7:T15" si="4">S7+O7</f>
        <v>385134.1</v>
      </c>
      <c r="U7" s="30">
        <f t="shared" ref="U7:U15" si="5">T7+E7</f>
        <v>639985.80000000005</v>
      </c>
      <c r="V7" s="35"/>
    </row>
    <row r="8" spans="1:22" s="36" customFormat="1" ht="15.75">
      <c r="A8" s="38">
        <v>2009</v>
      </c>
      <c r="B8" s="30">
        <v>144966.20000000007</v>
      </c>
      <c r="C8" s="30">
        <v>119531.40000000002</v>
      </c>
      <c r="D8" s="30"/>
      <c r="E8" s="30">
        <f t="shared" si="0"/>
        <v>264497.60000000009</v>
      </c>
      <c r="F8" s="30">
        <v>215622.30000000002</v>
      </c>
      <c r="G8" s="30">
        <v>100072.8</v>
      </c>
      <c r="H8" s="30" t="s">
        <v>2</v>
      </c>
      <c r="I8" s="30">
        <v>11255.3</v>
      </c>
      <c r="J8" s="31" t="s">
        <v>2</v>
      </c>
      <c r="K8" s="31" t="s">
        <v>2</v>
      </c>
      <c r="L8" s="32">
        <f t="shared" si="1"/>
        <v>326950.40000000002</v>
      </c>
      <c r="M8" s="33">
        <v>133925.09999999998</v>
      </c>
      <c r="N8" s="30">
        <v>14842.5</v>
      </c>
      <c r="O8" s="32">
        <f t="shared" si="2"/>
        <v>178182.80000000005</v>
      </c>
      <c r="P8" s="30">
        <v>8440.7000000000007</v>
      </c>
      <c r="Q8" s="30">
        <v>321233.5</v>
      </c>
      <c r="R8" s="32">
        <v>497.1</v>
      </c>
      <c r="S8" s="30">
        <f t="shared" si="3"/>
        <v>330171.3</v>
      </c>
      <c r="T8" s="34">
        <f t="shared" si="4"/>
        <v>508354.10000000003</v>
      </c>
      <c r="U8" s="30">
        <f t="shared" si="5"/>
        <v>772851.70000000019</v>
      </c>
      <c r="V8" s="35"/>
    </row>
    <row r="9" spans="1:22" s="36" customFormat="1" ht="15.75">
      <c r="A9" s="38">
        <v>2010</v>
      </c>
      <c r="B9" s="30">
        <v>141613.59999999998</v>
      </c>
      <c r="C9" s="30">
        <v>112437.40000000001</v>
      </c>
      <c r="D9" s="30"/>
      <c r="E9" s="30">
        <f t="shared" si="0"/>
        <v>254051</v>
      </c>
      <c r="F9" s="30">
        <v>19134.2</v>
      </c>
      <c r="G9" s="30">
        <v>109104.5</v>
      </c>
      <c r="H9" s="30" t="s">
        <v>2</v>
      </c>
      <c r="I9" s="30">
        <v>14177.3</v>
      </c>
      <c r="J9" s="30">
        <v>88925</v>
      </c>
      <c r="K9" s="30">
        <v>145130.9</v>
      </c>
      <c r="L9" s="32">
        <f t="shared" si="1"/>
        <v>376471.9</v>
      </c>
      <c r="M9" s="33">
        <v>154442.40000000002</v>
      </c>
      <c r="N9" s="30">
        <v>11748.2</v>
      </c>
      <c r="O9" s="32">
        <f t="shared" si="2"/>
        <v>210281.3</v>
      </c>
      <c r="P9" s="30">
        <v>8682.2000000000007</v>
      </c>
      <c r="Q9" s="30">
        <v>460562.3</v>
      </c>
      <c r="R9" s="32">
        <v>599.4</v>
      </c>
      <c r="S9" s="30">
        <f t="shared" si="3"/>
        <v>469843.9</v>
      </c>
      <c r="T9" s="34">
        <f t="shared" si="4"/>
        <v>680125.2</v>
      </c>
      <c r="U9" s="30">
        <f t="shared" si="5"/>
        <v>934176.2</v>
      </c>
      <c r="V9" s="35"/>
    </row>
    <row r="10" spans="1:22" s="36" customFormat="1" ht="15.75">
      <c r="A10" s="38">
        <v>2011</v>
      </c>
      <c r="B10" s="30">
        <v>82293.999999999942</v>
      </c>
      <c r="C10" s="30">
        <v>123231.6</v>
      </c>
      <c r="D10" s="30"/>
      <c r="E10" s="30">
        <f t="shared" si="0"/>
        <v>205525.59999999995</v>
      </c>
      <c r="F10" s="30">
        <v>86260.6</v>
      </c>
      <c r="G10" s="30">
        <v>84484.4</v>
      </c>
      <c r="H10" s="30" t="s">
        <v>2</v>
      </c>
      <c r="I10" s="30">
        <v>14746.9</v>
      </c>
      <c r="J10" s="30">
        <v>94325</v>
      </c>
      <c r="K10" s="30">
        <v>141433.29999999999</v>
      </c>
      <c r="L10" s="32">
        <f t="shared" si="1"/>
        <v>421250.2</v>
      </c>
      <c r="M10" s="33">
        <v>175708.5</v>
      </c>
      <c r="N10" s="30">
        <v>14154.1</v>
      </c>
      <c r="O10" s="32">
        <f t="shared" si="2"/>
        <v>231387.6</v>
      </c>
      <c r="P10" s="30">
        <v>4009.9000000000005</v>
      </c>
      <c r="Q10" s="30">
        <v>612267</v>
      </c>
      <c r="R10" s="32">
        <v>1021.9000000000001</v>
      </c>
      <c r="S10" s="30">
        <f t="shared" si="3"/>
        <v>617298.80000000005</v>
      </c>
      <c r="T10" s="34">
        <f t="shared" si="4"/>
        <v>848686.4</v>
      </c>
      <c r="U10" s="30">
        <f t="shared" si="5"/>
        <v>1054212</v>
      </c>
      <c r="V10" s="35"/>
    </row>
    <row r="11" spans="1:22" s="36" customFormat="1" ht="15.75">
      <c r="A11" s="38">
        <v>2012</v>
      </c>
      <c r="B11" s="30">
        <v>66928.900000000023</v>
      </c>
      <c r="C11" s="30">
        <v>129708.8</v>
      </c>
      <c r="D11" s="30"/>
      <c r="E11" s="30">
        <f t="shared" si="0"/>
        <v>196637.7</v>
      </c>
      <c r="F11" s="30">
        <v>155251.9</v>
      </c>
      <c r="G11" s="30">
        <v>49024.3</v>
      </c>
      <c r="H11" s="30"/>
      <c r="I11" s="30">
        <v>17982.599999999999</v>
      </c>
      <c r="J11" s="30">
        <v>117037.4</v>
      </c>
      <c r="K11" s="30">
        <v>137735.70000000001</v>
      </c>
      <c r="L11" s="32">
        <f t="shared" si="1"/>
        <v>477031.9</v>
      </c>
      <c r="M11" s="33">
        <v>182803.7</v>
      </c>
      <c r="N11" s="30">
        <v>18296</v>
      </c>
      <c r="O11" s="32">
        <f t="shared" si="2"/>
        <v>275932.2</v>
      </c>
      <c r="P11" s="30">
        <v>24157.200000000001</v>
      </c>
      <c r="Q11" s="30">
        <v>683891.70000000007</v>
      </c>
      <c r="R11" s="32">
        <v>1057.9000000000001</v>
      </c>
      <c r="S11" s="30">
        <f t="shared" si="3"/>
        <v>709106.8</v>
      </c>
      <c r="T11" s="34">
        <f t="shared" si="4"/>
        <v>985039</v>
      </c>
      <c r="U11" s="30">
        <f t="shared" si="5"/>
        <v>1181676.7</v>
      </c>
      <c r="V11" s="35"/>
    </row>
    <row r="12" spans="1:22" s="36" customFormat="1" ht="15.75">
      <c r="A12" s="38">
        <v>2013</v>
      </c>
      <c r="B12" s="30">
        <v>118133.79999999993</v>
      </c>
      <c r="C12" s="30">
        <v>111622.29999999997</v>
      </c>
      <c r="D12" s="30">
        <v>-97.2</v>
      </c>
      <c r="E12" s="30">
        <f t="shared" si="0"/>
        <v>229658.89999999991</v>
      </c>
      <c r="F12" s="31" t="s">
        <v>2</v>
      </c>
      <c r="G12" s="30">
        <v>109019.90000000001</v>
      </c>
      <c r="H12" s="30"/>
      <c r="I12" s="30">
        <v>18506.300000000003</v>
      </c>
      <c r="J12" s="30">
        <v>107284.3</v>
      </c>
      <c r="K12" s="30">
        <v>289290</v>
      </c>
      <c r="L12" s="32">
        <f t="shared" si="1"/>
        <v>524100.5</v>
      </c>
      <c r="M12" s="33">
        <v>227012.90000000002</v>
      </c>
      <c r="N12" s="30">
        <v>23790.1</v>
      </c>
      <c r="O12" s="32">
        <f t="shared" si="2"/>
        <v>273297.5</v>
      </c>
      <c r="P12" s="30">
        <v>36129.5</v>
      </c>
      <c r="Q12" s="30">
        <v>743181.20000000019</v>
      </c>
      <c r="R12" s="32">
        <v>2469.1999999999998</v>
      </c>
      <c r="S12" s="30">
        <f t="shared" si="3"/>
        <v>781779.90000000014</v>
      </c>
      <c r="T12" s="34">
        <f t="shared" si="4"/>
        <v>1055077.4000000001</v>
      </c>
      <c r="U12" s="30">
        <f t="shared" si="5"/>
        <v>1284736.3</v>
      </c>
      <c r="V12" s="35"/>
    </row>
    <row r="13" spans="1:22" s="36" customFormat="1" ht="15.75">
      <c r="A13" s="38">
        <v>2014</v>
      </c>
      <c r="B13" s="37">
        <v>128675.89999999997</v>
      </c>
      <c r="C13" s="37">
        <v>51849.400000000023</v>
      </c>
      <c r="D13" s="37">
        <v>-48.6</v>
      </c>
      <c r="E13" s="30">
        <f t="shared" si="0"/>
        <v>180476.69999999998</v>
      </c>
      <c r="F13" s="31">
        <v>55186.9</v>
      </c>
      <c r="G13" s="37">
        <v>147702.70000000001</v>
      </c>
      <c r="H13" s="30"/>
      <c r="I13" s="30">
        <v>49269.8</v>
      </c>
      <c r="J13" s="30">
        <v>106976.2</v>
      </c>
      <c r="K13" s="30">
        <v>285900.5</v>
      </c>
      <c r="L13" s="32">
        <f t="shared" si="1"/>
        <v>645036.10000000009</v>
      </c>
      <c r="M13" s="33">
        <v>238856.59999999998</v>
      </c>
      <c r="N13" s="30">
        <v>23004.400000000001</v>
      </c>
      <c r="O13" s="32">
        <f t="shared" si="2"/>
        <v>383175.10000000009</v>
      </c>
      <c r="P13" s="37">
        <v>40818.700000000004</v>
      </c>
      <c r="Q13" s="37">
        <v>814694.39999999991</v>
      </c>
      <c r="R13" s="32">
        <v>3449.2999999999997</v>
      </c>
      <c r="S13" s="30">
        <f t="shared" si="3"/>
        <v>858962.39999999991</v>
      </c>
      <c r="T13" s="34">
        <f t="shared" si="4"/>
        <v>1242137.5</v>
      </c>
      <c r="U13" s="30">
        <f t="shared" si="5"/>
        <v>1422614.2</v>
      </c>
      <c r="V13" s="35"/>
    </row>
    <row r="14" spans="1:22" s="36" customFormat="1" ht="15.75">
      <c r="A14" s="38">
        <v>2015</v>
      </c>
      <c r="B14" s="31">
        <v>-132985.60000000001</v>
      </c>
      <c r="C14" s="31">
        <v>57115.499999999971</v>
      </c>
      <c r="D14" s="31" t="s">
        <v>2</v>
      </c>
      <c r="E14" s="30">
        <f t="shared" si="0"/>
        <v>-75870.100000000035</v>
      </c>
      <c r="F14" s="31">
        <v>273246</v>
      </c>
      <c r="G14" s="31">
        <v>254809.2</v>
      </c>
      <c r="H14" s="31"/>
      <c r="I14" s="30">
        <v>50054.3</v>
      </c>
      <c r="J14" s="31">
        <v>90564.7</v>
      </c>
      <c r="K14" s="31">
        <v>277913.90000000002</v>
      </c>
      <c r="L14" s="32">
        <f t="shared" si="1"/>
        <v>946588.1</v>
      </c>
      <c r="M14" s="31">
        <v>233455.5</v>
      </c>
      <c r="N14" s="30">
        <v>26275.999999999996</v>
      </c>
      <c r="O14" s="32">
        <f t="shared" si="2"/>
        <v>686856.6</v>
      </c>
      <c r="P14" s="37">
        <v>6532.0999999999995</v>
      </c>
      <c r="Q14" s="32">
        <v>812972</v>
      </c>
      <c r="R14" s="32">
        <v>27.1</v>
      </c>
      <c r="S14" s="30">
        <f t="shared" si="3"/>
        <v>819531.2</v>
      </c>
      <c r="T14" s="34">
        <f t="shared" si="4"/>
        <v>1506387.7999999998</v>
      </c>
      <c r="U14" s="30">
        <f t="shared" si="5"/>
        <v>1430517.6999999997</v>
      </c>
      <c r="V14" s="35"/>
    </row>
    <row r="15" spans="1:22" s="36" customFormat="1" ht="15.75">
      <c r="A15" s="38">
        <v>2016</v>
      </c>
      <c r="B15" s="31">
        <v>-162073.80000000002</v>
      </c>
      <c r="C15" s="31">
        <v>-14449.299999999974</v>
      </c>
      <c r="D15" s="31" t="s">
        <v>2</v>
      </c>
      <c r="E15" s="30">
        <f t="shared" si="0"/>
        <v>-176523.09999999998</v>
      </c>
      <c r="F15" s="31">
        <v>134973.1</v>
      </c>
      <c r="G15" s="31">
        <v>438079.6</v>
      </c>
      <c r="H15" s="31"/>
      <c r="I15" s="30">
        <v>37133.1</v>
      </c>
      <c r="J15" s="31">
        <v>73845.100000000006</v>
      </c>
      <c r="K15" s="31">
        <v>543481.59999999998</v>
      </c>
      <c r="L15" s="32">
        <f t="shared" si="1"/>
        <v>1227512.5</v>
      </c>
      <c r="M15" s="31">
        <v>291260.3</v>
      </c>
      <c r="N15" s="30">
        <v>30394.800000000003</v>
      </c>
      <c r="O15" s="32">
        <f t="shared" si="2"/>
        <v>905857.39999999991</v>
      </c>
      <c r="P15" s="37">
        <v>7173.4000000000005</v>
      </c>
      <c r="Q15" s="32">
        <v>854034</v>
      </c>
      <c r="R15" s="32">
        <v>57.6</v>
      </c>
      <c r="S15" s="30">
        <f t="shared" si="3"/>
        <v>861265</v>
      </c>
      <c r="T15" s="34">
        <f t="shared" si="4"/>
        <v>1767122.4</v>
      </c>
      <c r="U15" s="30">
        <f t="shared" si="5"/>
        <v>1590599.2999999998</v>
      </c>
      <c r="V15" s="35"/>
    </row>
    <row r="16" spans="1:22" s="36" customFormat="1" ht="15.75">
      <c r="A16" s="38">
        <v>2017</v>
      </c>
      <c r="B16" s="31">
        <v>-144480.39999999997</v>
      </c>
      <c r="C16" s="31">
        <f>146133-156052.6</f>
        <v>-9919.6000000000058</v>
      </c>
      <c r="D16" s="31" t="s">
        <v>2</v>
      </c>
      <c r="E16" s="30">
        <f t="shared" ref="E16" si="6">+SUM(B16:D16)</f>
        <v>-154399.99999999997</v>
      </c>
      <c r="F16" s="31">
        <v>194279.4</v>
      </c>
      <c r="G16" s="31">
        <f>459750.2+183740.4</f>
        <v>643490.6</v>
      </c>
      <c r="H16" s="31"/>
      <c r="I16" s="30">
        <v>30924.9</v>
      </c>
      <c r="J16" s="31">
        <v>57125.4</v>
      </c>
      <c r="K16" s="31">
        <v>535803.19999999995</v>
      </c>
      <c r="L16" s="32">
        <f t="shared" ref="L16" si="7">+SUM(F16:K16)</f>
        <v>1461623.5</v>
      </c>
      <c r="M16" s="31">
        <v>300060.10000000009</v>
      </c>
      <c r="N16" s="30">
        <v>49349</v>
      </c>
      <c r="O16" s="32">
        <f t="shared" ref="O16:O19" si="8">+L16-M16-N16</f>
        <v>1112214.3999999999</v>
      </c>
      <c r="P16" s="37">
        <f>28633.1+129.8</f>
        <v>28762.899999999998</v>
      </c>
      <c r="Q16" s="32">
        <f>39736.1+3557.9+815757.5</f>
        <v>859051.5</v>
      </c>
      <c r="R16" s="32">
        <v>4937.3999999999996</v>
      </c>
      <c r="S16" s="30">
        <f>SUM(P16:R16)</f>
        <v>892751.8</v>
      </c>
      <c r="T16" s="34">
        <f>SUM(O16,S16)</f>
        <v>2004966.2</v>
      </c>
      <c r="U16" s="30">
        <f>SUM(E16,T16)</f>
        <v>1850566.2</v>
      </c>
      <c r="V16" s="35"/>
    </row>
    <row r="17" spans="1:22" s="36" customFormat="1" ht="15.75">
      <c r="A17" s="38">
        <v>2018</v>
      </c>
      <c r="B17" s="31">
        <v>-165217.1</v>
      </c>
      <c r="C17" s="31">
        <v>-37983.9</v>
      </c>
      <c r="D17" s="31" t="s">
        <v>2</v>
      </c>
      <c r="E17" s="30">
        <f t="shared" ref="E17" si="9">+SUM(B17:D17)</f>
        <v>-203201</v>
      </c>
      <c r="F17" s="31">
        <v>210409.1</v>
      </c>
      <c r="G17" s="31">
        <v>932439.20000000007</v>
      </c>
      <c r="H17" s="31"/>
      <c r="I17" s="30">
        <v>58884.2</v>
      </c>
      <c r="J17" s="31">
        <v>40405.800000000003</v>
      </c>
      <c r="K17" s="31">
        <v>521293.6</v>
      </c>
      <c r="L17" s="32">
        <f t="shared" ref="L17" si="10">+SUM(F17:K17)</f>
        <v>1763431.9</v>
      </c>
      <c r="M17" s="31">
        <v>353522.4</v>
      </c>
      <c r="N17" s="30">
        <v>72375.499999999985</v>
      </c>
      <c r="O17" s="32">
        <f t="shared" si="8"/>
        <v>1337534</v>
      </c>
      <c r="P17" s="37">
        <v>42063.6</v>
      </c>
      <c r="Q17" s="32">
        <v>983859.19999999995</v>
      </c>
      <c r="R17" s="32">
        <v>6028.8</v>
      </c>
      <c r="S17" s="30">
        <f t="shared" ref="S17" si="11">SUM(P17:R17)</f>
        <v>1031951.6</v>
      </c>
      <c r="T17" s="34">
        <f>SUM(O17,S17)</f>
        <v>2369485.6</v>
      </c>
      <c r="U17" s="30">
        <f>SUM(E17,T17)</f>
        <v>2166284.6</v>
      </c>
      <c r="V17" s="35"/>
    </row>
    <row r="18" spans="1:22" s="36" customFormat="1" ht="15.75">
      <c r="A18" s="38">
        <v>2019</v>
      </c>
      <c r="B18" s="31">
        <v>-129390.7</v>
      </c>
      <c r="C18" s="31">
        <v>-76949.600000000006</v>
      </c>
      <c r="D18" s="31" t="s">
        <v>2</v>
      </c>
      <c r="E18" s="30">
        <f t="shared" ref="E18" si="12">+SUM(B18:D18)</f>
        <v>-206340.3</v>
      </c>
      <c r="F18" s="31">
        <v>0</v>
      </c>
      <c r="G18" s="31">
        <v>1341367.1000000001</v>
      </c>
      <c r="H18" s="31"/>
      <c r="I18" s="31">
        <v>70919.799999999988</v>
      </c>
      <c r="J18" s="31">
        <v>23686.2</v>
      </c>
      <c r="K18" s="31">
        <v>722793.2</v>
      </c>
      <c r="L18" s="32">
        <f t="shared" ref="L18" si="13">+SUM(F18:K18)</f>
        <v>2158766.2999999998</v>
      </c>
      <c r="M18" s="31">
        <v>443910.5</v>
      </c>
      <c r="N18" s="30">
        <v>95938.2</v>
      </c>
      <c r="O18" s="32">
        <f t="shared" si="8"/>
        <v>1618917.5999999999</v>
      </c>
      <c r="P18" s="37">
        <f>42076.6+101.6</f>
        <v>42178.2</v>
      </c>
      <c r="Q18" s="32">
        <v>1166031.0000000002</v>
      </c>
      <c r="R18" s="32">
        <v>458.5</v>
      </c>
      <c r="S18" s="30">
        <f t="shared" ref="S18" si="14">SUM(P18:R18)</f>
        <v>1208667.7000000002</v>
      </c>
      <c r="T18" s="34">
        <f t="shared" ref="T18:T19" si="15">SUM(O18,S18)</f>
        <v>2827585.3</v>
      </c>
      <c r="U18" s="30">
        <f t="shared" ref="U18:U19" si="16">SUM(E18,T18)</f>
        <v>2621245</v>
      </c>
    </row>
    <row r="19" spans="1:22" s="36" customFormat="1" ht="15.75">
      <c r="A19" s="38">
        <v>2020</v>
      </c>
      <c r="B19" s="31">
        <v>-93105.300000000017</v>
      </c>
      <c r="C19" s="31">
        <v>-111910.80000000002</v>
      </c>
      <c r="D19" s="31" t="s">
        <v>2</v>
      </c>
      <c r="E19" s="30">
        <f t="shared" ref="E19" si="17">+SUM(B19:D19)</f>
        <v>-205016.10000000003</v>
      </c>
      <c r="F19" s="31">
        <v>0</v>
      </c>
      <c r="G19" s="31">
        <v>1614167.6</v>
      </c>
      <c r="H19" s="31"/>
      <c r="I19" s="31">
        <f>18210.4+27463+120782.7+150000+2000</f>
        <v>318456.09999999998</v>
      </c>
      <c r="J19" s="31">
        <v>6921.2</v>
      </c>
      <c r="K19" s="31">
        <v>708283.6</v>
      </c>
      <c r="L19" s="32">
        <f t="shared" ref="L19" si="18">+SUM(F19:K19)</f>
        <v>2647828.5</v>
      </c>
      <c r="M19" s="31">
        <v>549158.91651699995</v>
      </c>
      <c r="N19" s="30">
        <v>72918.899999999994</v>
      </c>
      <c r="O19" s="32">
        <f t="shared" si="8"/>
        <v>2025750.6834830004</v>
      </c>
      <c r="P19" s="37">
        <f>22343.7+101.6</f>
        <v>22445.3</v>
      </c>
      <c r="Q19" s="32">
        <v>1413651.5</v>
      </c>
      <c r="R19" s="32">
        <v>1185.1999999999998</v>
      </c>
      <c r="S19" s="30">
        <f t="shared" ref="S19" si="19">SUM(P19:R19)</f>
        <v>1437282</v>
      </c>
      <c r="T19" s="34">
        <f t="shared" si="15"/>
        <v>3463032.6834830004</v>
      </c>
      <c r="U19" s="30">
        <f t="shared" si="16"/>
        <v>3258016.5834830003</v>
      </c>
    </row>
    <row r="20" spans="1:22" s="36" customFormat="1" ht="15.75">
      <c r="A20" s="38">
        <v>2021</v>
      </c>
      <c r="B20" s="31">
        <v>-141348.09999999998</v>
      </c>
      <c r="C20" s="31">
        <v>-181042.40000000002</v>
      </c>
      <c r="D20" s="31">
        <v>0</v>
      </c>
      <c r="E20" s="30">
        <v>-322390.5</v>
      </c>
      <c r="F20" s="31">
        <v>36124.9</v>
      </c>
      <c r="G20" s="31">
        <v>1816057.7</v>
      </c>
      <c r="H20" s="31"/>
      <c r="I20" s="31">
        <v>290056.7</v>
      </c>
      <c r="J20" s="31">
        <v>0</v>
      </c>
      <c r="K20" s="31">
        <v>690961.7</v>
      </c>
      <c r="L20" s="32">
        <v>2833201</v>
      </c>
      <c r="M20" s="31">
        <v>826676.3</v>
      </c>
      <c r="N20" s="30">
        <v>75800.899999999994</v>
      </c>
      <c r="O20" s="32">
        <v>1930723.8</v>
      </c>
      <c r="P20" s="37">
        <v>25121</v>
      </c>
      <c r="Q20" s="32">
        <v>2351611.3000000003</v>
      </c>
      <c r="R20" s="32">
        <v>256.5</v>
      </c>
      <c r="S20" s="30">
        <v>2376988.8000000003</v>
      </c>
      <c r="T20" s="34">
        <v>4307712.6000000006</v>
      </c>
      <c r="U20" s="30">
        <v>3985322.1000000006</v>
      </c>
    </row>
    <row r="21" spans="1:22" s="36" customFormat="1" ht="15.75">
      <c r="A21" s="38">
        <v>2022</v>
      </c>
      <c r="B21" s="31">
        <v>-252046.90000000002</v>
      </c>
      <c r="C21" s="31">
        <v>-309521.5</v>
      </c>
      <c r="D21" s="31">
        <v>-357.9</v>
      </c>
      <c r="E21" s="30">
        <f t="shared" ref="E21" si="20">+SUM(B21:D21)</f>
        <v>-561926.30000000005</v>
      </c>
      <c r="F21" s="31">
        <v>3346.5</v>
      </c>
      <c r="G21" s="31">
        <v>1994536.9</v>
      </c>
      <c r="H21" s="31"/>
      <c r="I21" s="31">
        <v>875209.5</v>
      </c>
      <c r="J21" s="31">
        <v>0</v>
      </c>
      <c r="K21" s="31">
        <v>941229</v>
      </c>
      <c r="L21" s="32">
        <v>3814321.9</v>
      </c>
      <c r="M21" s="31">
        <v>1152725.8999999999</v>
      </c>
      <c r="N21" s="30">
        <v>128898.4</v>
      </c>
      <c r="O21" s="32">
        <v>2532697.6</v>
      </c>
      <c r="P21" s="37">
        <v>23718</v>
      </c>
      <c r="Q21" s="32">
        <v>3388341.2</v>
      </c>
      <c r="R21" s="32">
        <v>167.9</v>
      </c>
      <c r="S21" s="30">
        <v>3412227.1</v>
      </c>
      <c r="T21" s="34">
        <v>5944924.7000000002</v>
      </c>
      <c r="U21" s="30">
        <f t="shared" ref="U21" si="21">SUM(E21,T21)</f>
        <v>5382998.4000000004</v>
      </c>
    </row>
    <row r="22" spans="1:22" s="36" customFormat="1" ht="15.75">
      <c r="A22" s="38" t="s">
        <v>91</v>
      </c>
      <c r="B22" s="31">
        <v>-651113.60000000009</v>
      </c>
      <c r="C22" s="31">
        <v>-442426.50000000006</v>
      </c>
      <c r="D22" s="31">
        <v>-378.8</v>
      </c>
      <c r="E22" s="30">
        <v>-1093918.9000000001</v>
      </c>
      <c r="F22" s="31">
        <v>99394.5</v>
      </c>
      <c r="G22" s="31">
        <v>2066505.0999999999</v>
      </c>
      <c r="H22" s="31"/>
      <c r="I22" s="31">
        <v>814631.2</v>
      </c>
      <c r="J22" s="31">
        <v>0</v>
      </c>
      <c r="K22" s="31">
        <v>1238638.1000000001</v>
      </c>
      <c r="L22" s="32">
        <v>4219168.9000000004</v>
      </c>
      <c r="M22" s="31">
        <v>1078925</v>
      </c>
      <c r="N22" s="30">
        <v>172112.7</v>
      </c>
      <c r="O22" s="32">
        <v>2968131.2</v>
      </c>
      <c r="P22" s="37">
        <v>24184.899999999998</v>
      </c>
      <c r="Q22" s="32">
        <v>4430983</v>
      </c>
      <c r="R22" s="32">
        <v>1112.6000000000001</v>
      </c>
      <c r="S22" s="30">
        <v>4456280.5</v>
      </c>
      <c r="T22" s="34">
        <v>7424411.7000000002</v>
      </c>
      <c r="U22" s="30">
        <v>6330492.7999999998</v>
      </c>
    </row>
    <row r="23" spans="1:22" s="36" customFormat="1" ht="15.75">
      <c r="A23" s="48" t="s">
        <v>45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35"/>
    </row>
    <row r="24" spans="1:22" s="36" customFormat="1" ht="15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V24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3:U2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NSENGIYUMVA Raissa Providence</cp:lastModifiedBy>
  <cp:lastPrinted>2016-11-30T12:34:59Z</cp:lastPrinted>
  <dcterms:created xsi:type="dcterms:W3CDTF">2000-10-18T12:42:23Z</dcterms:created>
  <dcterms:modified xsi:type="dcterms:W3CDTF">2024-05-20T07:18:54Z</dcterms:modified>
</cp:coreProperties>
</file>