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148" i="5" l="1"/>
  <c r="P148" i="5"/>
  <c r="S148" i="5" s="1"/>
  <c r="L148" i="5"/>
  <c r="O148" i="5" s="1"/>
  <c r="I148" i="5"/>
  <c r="G148" i="5"/>
  <c r="E148" i="5"/>
  <c r="C148" i="5"/>
  <c r="B148" i="5"/>
  <c r="T148" i="5" l="1"/>
  <c r="U148" i="5" s="1"/>
  <c r="Q53" i="6" l="1"/>
  <c r="P53" i="6"/>
  <c r="S53" i="6" s="1"/>
  <c r="I53" i="6"/>
  <c r="G53" i="6"/>
  <c r="L53" i="6" s="1"/>
  <c r="O53" i="6" s="1"/>
  <c r="T53" i="6" s="1"/>
  <c r="U53" i="6" s="1"/>
  <c r="E53" i="6"/>
  <c r="C53" i="6"/>
  <c r="B53" i="6"/>
  <c r="Q147" i="5"/>
  <c r="P147" i="5"/>
  <c r="I147" i="5"/>
  <c r="G147" i="5"/>
  <c r="L147" i="5" s="1"/>
  <c r="O147" i="5" s="1"/>
  <c r="C147" i="5"/>
  <c r="B147" i="5"/>
  <c r="E147" i="5" s="1"/>
  <c r="P146" i="5"/>
  <c r="S146" i="5" s="1"/>
  <c r="I146" i="5"/>
  <c r="G146" i="5"/>
  <c r="L146" i="5" s="1"/>
  <c r="O146" i="5" s="1"/>
  <c r="C146" i="5"/>
  <c r="B146" i="5"/>
  <c r="P145" i="5"/>
  <c r="S145" i="5" s="1"/>
  <c r="I145" i="5"/>
  <c r="G145" i="5"/>
  <c r="C145" i="5"/>
  <c r="B145" i="5"/>
  <c r="E145" i="5" s="1"/>
  <c r="E146" i="5" l="1"/>
  <c r="L145" i="5"/>
  <c r="O145" i="5" s="1"/>
  <c r="T145" i="5" s="1"/>
  <c r="U145" i="5" s="1"/>
  <c r="S147" i="5"/>
  <c r="T147" i="5" s="1"/>
  <c r="U147" i="5" s="1"/>
  <c r="T146" i="5"/>
  <c r="U146" i="5" s="1"/>
  <c r="P52" i="6" l="1"/>
  <c r="S52" i="6" s="1"/>
  <c r="I52" i="6"/>
  <c r="G52" i="6"/>
  <c r="C52" i="6"/>
  <c r="B52" i="6"/>
  <c r="S51" i="6"/>
  <c r="G51" i="6"/>
  <c r="L51" i="6" s="1"/>
  <c r="O51" i="6" s="1"/>
  <c r="E51" i="6"/>
  <c r="S50" i="6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39" i="5"/>
  <c r="E140" i="5"/>
  <c r="E141" i="5"/>
  <c r="L139" i="5"/>
  <c r="O139" i="5" s="1"/>
  <c r="L140" i="5"/>
  <c r="O140" i="5" s="1"/>
  <c r="S139" i="5"/>
  <c r="S140" i="5"/>
  <c r="S141" i="5"/>
  <c r="S142" i="5"/>
  <c r="P144" i="5"/>
  <c r="S144" i="5" s="1"/>
  <c r="I144" i="5"/>
  <c r="G144" i="5"/>
  <c r="C144" i="5"/>
  <c r="B144" i="5"/>
  <c r="E144" i="5" s="1"/>
  <c r="P143" i="5"/>
  <c r="S143" i="5" s="1"/>
  <c r="I143" i="5"/>
  <c r="G143" i="5"/>
  <c r="L143" i="5" s="1"/>
  <c r="O143" i="5" s="1"/>
  <c r="C143" i="5"/>
  <c r="E143" i="5" s="1"/>
  <c r="B143" i="5"/>
  <c r="I142" i="5"/>
  <c r="G142" i="5"/>
  <c r="C142" i="5"/>
  <c r="E142" i="5" s="1"/>
  <c r="B142" i="5"/>
  <c r="G141" i="5"/>
  <c r="L141" i="5" s="1"/>
  <c r="O141" i="5" s="1"/>
  <c r="T141" i="5" s="1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O127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U141" i="5" l="1"/>
  <c r="L142" i="5"/>
  <c r="O142" i="5" s="1"/>
  <c r="T142" i="5" s="1"/>
  <c r="U142" i="5" s="1"/>
  <c r="L144" i="5"/>
  <c r="O144" i="5" s="1"/>
  <c r="T127" i="5"/>
  <c r="U127" i="5" s="1"/>
  <c r="L52" i="6"/>
  <c r="O52" i="6" s="1"/>
  <c r="T52" i="6" s="1"/>
  <c r="T49" i="6"/>
  <c r="U49" i="6" s="1"/>
  <c r="E52" i="6"/>
  <c r="T50" i="6"/>
  <c r="U50" i="6" s="1"/>
  <c r="T48" i="6"/>
  <c r="U48" i="6" s="1"/>
  <c r="T51" i="6"/>
  <c r="U51" i="6" s="1"/>
  <c r="T47" i="6"/>
  <c r="U47" i="6" s="1"/>
  <c r="T130" i="5"/>
  <c r="U130" i="5" s="1"/>
  <c r="T140" i="5"/>
  <c r="U140" i="5" s="1"/>
  <c r="T131" i="5"/>
  <c r="T139" i="5"/>
  <c r="U139" i="5" s="1"/>
  <c r="T144" i="5"/>
  <c r="U144" i="5" s="1"/>
  <c r="T143" i="5"/>
  <c r="U143" i="5" s="1"/>
  <c r="T135" i="5"/>
  <c r="U135" i="5" s="1"/>
  <c r="T138" i="5"/>
  <c r="U138" i="5" s="1"/>
  <c r="T137" i="5"/>
  <c r="U137" i="5" s="1"/>
  <c r="T129" i="5"/>
  <c r="U129" i="5" s="1"/>
  <c r="T132" i="5"/>
  <c r="U132" i="5" s="1"/>
  <c r="U131" i="5"/>
  <c r="T128" i="5"/>
  <c r="U128" i="5" s="1"/>
  <c r="T136" i="5"/>
  <c r="U136" i="5" s="1"/>
  <c r="T134" i="5"/>
  <c r="U134" i="5" s="1"/>
  <c r="T133" i="5"/>
  <c r="U133" i="5" s="1"/>
  <c r="U52" i="6" l="1"/>
  <c r="S17" i="7" l="1"/>
  <c r="L17" i="7"/>
  <c r="O17" i="7" s="1"/>
  <c r="T17" i="7" s="1"/>
  <c r="U17" i="7" s="1"/>
  <c r="E17" i="7"/>
  <c r="Q16" i="7"/>
  <c r="P16" i="7"/>
  <c r="S16" i="7" s="1"/>
  <c r="G16" i="7"/>
  <c r="L16" i="7" s="1"/>
  <c r="O16" i="7" s="1"/>
  <c r="C16" i="7"/>
  <c r="E16" i="7" s="1"/>
  <c r="T16" i="7" l="1"/>
  <c r="U16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87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U18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<sst xmlns="http://schemas.openxmlformats.org/spreadsheetml/2006/main" count="372" uniqueCount="77">
  <si>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</si>
  <si>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</si>
  <si>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</si>
  <si>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</si>
  <si>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</si>
  <si>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</si>
  <si>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</si>
  <si>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</si>
  <si>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</si>
  <si>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</si>
  <si>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</si>
  <si>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</si>
  <si>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</si>
  <si>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</si>
  <si>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</si>
  <si>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</si>
  <si>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</si>
  <si>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</si>
  <si>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</si>
  <si>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</si>
  <si>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</si>
  <si>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</si>
  <si>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</si>
  <si>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</si>
  <si>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</si>
  <si>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</si>
  <si>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</si>
  <si>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</si>
  <si>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</si>
  <si>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</si>
  <si>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</si>
  <si>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</si>
  <si>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</si>
  <si>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</si>
  <si>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</si>
  <si>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</si>
  <si>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</si>
  <si>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</si>
  <si>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</si>
  <si>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</si>
  <si>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</si>
  <si>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</si>
  <si>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</si>
  <si>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</si>
  <si>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</si>
  <si>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</si>
  <si>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</si>
  <si>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</si>
  <si>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</si>
  <si>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</si>
  <si>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</si>
  <si>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</si>
  <si>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</si>
  <si>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</si>
  <si>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</si>
  <si>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</si>
  <si>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</si>
  <si>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</si>
  <si>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</si>
  <si>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</si>
  <si>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</si>
  <si>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</si>
  <si>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</si>
  <si>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2018</t>
  </si>
  <si>
    <t>Etablissements de Microfinance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</si>
  <si>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</si>
  <si>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</si>
  <si>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</si>
  <si>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</si>
  <si>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</si>
  <si>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</si>
  <si>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</si>
  <si>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</si>
  <si>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Mai-19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</si>
  <si>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</si>
  <si>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t>Q3-2019</t>
  </si>
  <si>
    <r>
      <t>octobre-19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</si>
</sst>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B_u_-;\-* #,##0.00\ _F_B_u_-;_-* &quot;-&quot;??\ _F_B_u_-;_-@_-"/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67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8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9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7" fontId="14" fillId="0" borderId="10" xfId="0" quotePrefix="1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9" fillId="0" borderId="0" xfId="0" applyFont="1" applyFill="1"/>
    <xf numFmtId="166" fontId="20" fillId="0" borderId="0" xfId="2" applyNumberFormat="1" applyFont="1" applyFill="1" applyAlignment="1" applyProtection="1">
      <alignment horizontal="right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4" workbookViewId="0">
      <selection activeCell="F19" sqref="F19"/>
    </sheetView>
  </sheetViews>
  <sheetFormatPr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43768</v>
      </c>
    </row>
    <row r="13" spans="2:5">
      <c r="B13" s="7" t="s">
        <v>31</v>
      </c>
      <c r="C13" s="8" t="s">
        <v>60</v>
      </c>
      <c r="D13" s="8" t="s">
        <v>31</v>
      </c>
      <c r="E13" s="10" t="s">
        <v>75</v>
      </c>
    </row>
    <row r="14" spans="2:5">
      <c r="B14" s="7" t="s">
        <v>32</v>
      </c>
      <c r="C14" s="8" t="s">
        <v>38</v>
      </c>
      <c r="D14" s="8" t="s">
        <v>32</v>
      </c>
      <c r="E14" s="9" t="s">
        <v>63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50"/>
  <sheetViews>
    <sheetView tabSelected="1" workbookViewId="0">
      <pane xSplit="1" ySplit="6" topLeftCell="S142" activePane="bottomRight" state="frozen"/>
      <selection pane="topRight" activeCell="B1" sqref="B1"/>
      <selection pane="bottomLeft" activeCell="A7" sqref="A7"/>
      <selection pane="bottomRight" activeCell="V149" sqref="V149"/>
    </sheetView>
  </sheetViews>
  <sheetFormatPr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3" t="s">
        <v>55</v>
      </c>
      <c r="G2" s="43"/>
      <c r="H2" s="43"/>
    </row>
    <row r="3" spans="1:21" ht="21" customHeight="1"/>
    <row r="4" spans="1:21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</row>
    <row r="5" spans="1:21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</row>
    <row r="6" spans="1:21" s="24" customFormat="1" ht="90">
      <c r="A6" s="66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</row>
    <row r="7" spans="1:21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</row>
    <row r="8" spans="1:21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</row>
    <row r="9" spans="1:21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</row>
    <row r="10" spans="1:21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</row>
    <row r="11" spans="1:21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</row>
    <row r="12" spans="1:21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</row>
    <row r="13" spans="1:21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</row>
    <row r="14" spans="1:21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</row>
    <row r="15" spans="1:21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</row>
    <row r="16" spans="1:21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</row>
    <row r="17" spans="1:21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</row>
    <row r="18" spans="1:21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</row>
    <row r="19" spans="1:21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</row>
    <row r="20" spans="1:21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</row>
    <row r="21" spans="1:21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</row>
    <row r="22" spans="1:21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</row>
    <row r="23" spans="1:21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</row>
    <row r="24" spans="1:21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</row>
    <row r="25" spans="1:21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</row>
    <row r="26" spans="1:21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</row>
    <row r="27" spans="1:21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</row>
    <row r="28" spans="1:21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</row>
    <row r="29" spans="1:21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</row>
    <row r="30" spans="1:21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</row>
    <row r="31" spans="1:21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</row>
    <row r="32" spans="1:21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</row>
    <row r="33" spans="1:21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</row>
    <row r="34" spans="1:21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</row>
    <row r="35" spans="1:21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</row>
    <row r="36" spans="1:21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</row>
    <row r="37" spans="1:21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</row>
    <row r="38" spans="1:21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</row>
    <row r="39" spans="1:21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</row>
    <row r="40" spans="1:21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</row>
    <row r="41" spans="1:21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</row>
    <row r="42" spans="1:21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</row>
    <row r="43" spans="1:21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</row>
    <row r="44" spans="1:21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</row>
    <row r="45" spans="1:21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</row>
    <row r="46" spans="1:21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</row>
    <row r="47" spans="1:21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</row>
    <row r="48" spans="1:21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</row>
    <row r="49" spans="1:21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</row>
    <row r="50" spans="1:21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</row>
    <row r="51" spans="1:21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</row>
    <row r="52" spans="1:21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</row>
    <row r="53" spans="1:21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</row>
    <row r="54" spans="1:21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</row>
    <row r="55" spans="1:21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</row>
    <row r="56" spans="1:21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</row>
    <row r="57" spans="1:21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</row>
    <row r="58" spans="1:21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</row>
    <row r="59" spans="1:21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</row>
    <row r="60" spans="1:21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</row>
    <row r="61" spans="1:21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</row>
    <row r="62" spans="1:21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</row>
    <row r="63" spans="1:21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</row>
    <row r="64" spans="1:21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</row>
    <row r="65" spans="1:21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</row>
    <row r="66" spans="1:21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</row>
    <row r="67" spans="1:21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</row>
    <row r="68" spans="1:21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</row>
    <row r="69" spans="1:21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</row>
    <row r="70" spans="1:21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</row>
    <row r="71" spans="1:21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34" si="8">SUM(F71:K71)</f>
        <v>486831.0833</v>
      </c>
      <c r="M71" s="34">
        <v>199125.4167</v>
      </c>
      <c r="N71" s="31">
        <v>19112.000000000004</v>
      </c>
      <c r="O71" s="33">
        <f t="shared" ref="O71:O134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</row>
    <row r="72" spans="1:21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35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</row>
    <row r="73" spans="1:21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</row>
    <row r="74" spans="1:21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</row>
    <row r="75" spans="1:21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</row>
    <row r="76" spans="1:21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</row>
    <row r="77" spans="1:21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</row>
    <row r="78" spans="1:21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</row>
    <row r="79" spans="1:21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</row>
    <row r="80" spans="1:21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</row>
    <row r="81" spans="1:21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44" si="13">SUM(P81:R81)</f>
        <v>781900.625</v>
      </c>
      <c r="T81" s="35">
        <f t="shared" si="6"/>
        <v>1064787.5</v>
      </c>
      <c r="U81" s="31">
        <f t="shared" si="10"/>
        <v>1275638.45</v>
      </c>
    </row>
    <row r="82" spans="1:21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</row>
    <row r="83" spans="1:21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</row>
    <row r="84" spans="1:21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</row>
    <row r="85" spans="1:21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</row>
    <row r="86" spans="1:21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</row>
    <row r="87" spans="1:21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</row>
    <row r="88" spans="1:21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</row>
    <row r="89" spans="1:21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</row>
    <row r="90" spans="1:21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</row>
    <row r="91" spans="1:21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</row>
    <row r="92" spans="1:21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</row>
    <row r="93" spans="1:21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</row>
    <row r="94" spans="1:21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</row>
    <row r="95" spans="1:21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</row>
    <row r="96" spans="1:21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</row>
    <row r="97" spans="1:21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</row>
    <row r="98" spans="1:21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</row>
    <row r="99" spans="1:21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</row>
    <row r="100" spans="1:21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</row>
    <row r="101" spans="1:21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</row>
    <row r="102" spans="1:21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</row>
    <row r="103" spans="1:21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44" si="15">S103+O103</f>
        <v>1525853.7583333333</v>
      </c>
      <c r="U103" s="31">
        <f t="shared" ref="U103:U144" si="16">T103+E103</f>
        <v>1406619.7583333333</v>
      </c>
    </row>
    <row r="104" spans="1:21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</row>
    <row r="105" spans="1:21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</row>
    <row r="106" spans="1:21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</row>
    <row r="107" spans="1:21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</row>
    <row r="108" spans="1:21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</row>
    <row r="109" spans="1:21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</row>
    <row r="110" spans="1:21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</row>
    <row r="111" spans="1:21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</row>
    <row r="112" spans="1:21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</row>
    <row r="113" spans="1:21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</row>
    <row r="114" spans="1:21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</row>
    <row r="115" spans="1:21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</row>
    <row r="116" spans="1:21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</row>
    <row r="117" spans="1:21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</row>
    <row r="118" spans="1:21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</row>
    <row r="119" spans="1:21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</row>
    <row r="120" spans="1:21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</row>
    <row r="121" spans="1:21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</row>
    <row r="122" spans="1:21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</row>
    <row r="123" spans="1:21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</row>
    <row r="124" spans="1:21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</row>
    <row r="125" spans="1:21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</row>
    <row r="126" spans="1:21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</row>
    <row r="127" spans="1:21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 t="shared" si="11"/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si="8"/>
        <v>1437553.05</v>
      </c>
      <c r="M127" s="32">
        <v>273185</v>
      </c>
      <c r="N127" s="31">
        <v>53988.5</v>
      </c>
      <c r="O127" s="33">
        <f t="shared" si="9"/>
        <v>1110379.55</v>
      </c>
      <c r="P127" s="38">
        <v>25425.200000000001</v>
      </c>
      <c r="Q127" s="33">
        <v>861275.6</v>
      </c>
      <c r="R127" s="33">
        <v>4778.2</v>
      </c>
      <c r="S127" s="31">
        <f t="shared" si="13"/>
        <v>891478.99999999988</v>
      </c>
      <c r="T127" s="35">
        <f t="shared" si="15"/>
        <v>2001858.5499999998</v>
      </c>
      <c r="U127" s="31">
        <f t="shared" si="16"/>
        <v>1824350.0499999998</v>
      </c>
    </row>
    <row r="128" spans="1:21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si="11"/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8"/>
        <v>1468677.1</v>
      </c>
      <c r="M128" s="32">
        <v>274672.40000000002</v>
      </c>
      <c r="N128" s="31">
        <v>54895.000000000007</v>
      </c>
      <c r="O128" s="33">
        <f t="shared" si="9"/>
        <v>1139109.7000000002</v>
      </c>
      <c r="P128" s="38">
        <v>17299.899999999998</v>
      </c>
      <c r="Q128" s="33">
        <v>893761.9</v>
      </c>
      <c r="R128" s="33">
        <v>4731.8</v>
      </c>
      <c r="S128" s="31">
        <f t="shared" si="13"/>
        <v>915793.60000000009</v>
      </c>
      <c r="T128" s="35">
        <f t="shared" si="15"/>
        <v>2054903.3000000003</v>
      </c>
      <c r="U128" s="31">
        <f t="shared" si="16"/>
        <v>1926633.9000000001</v>
      </c>
    </row>
    <row r="129" spans="1:21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11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8"/>
        <v>1493251.9</v>
      </c>
      <c r="M129" s="32">
        <v>290474.59999999998</v>
      </c>
      <c r="N129" s="31">
        <v>56551.900000000009</v>
      </c>
      <c r="O129" s="33">
        <f t="shared" si="9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3"/>
        <v>908881.79999999993</v>
      </c>
      <c r="T129" s="35">
        <f t="shared" si="15"/>
        <v>2055107.1999999997</v>
      </c>
      <c r="U129" s="31">
        <f t="shared" si="16"/>
        <v>1885811.6999999997</v>
      </c>
    </row>
    <row r="130" spans="1:21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11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8"/>
        <v>1491825.166666667</v>
      </c>
      <c r="M130" s="32">
        <v>289983.09999999998</v>
      </c>
      <c r="N130" s="31">
        <v>59990</v>
      </c>
      <c r="O130" s="33">
        <f t="shared" si="9"/>
        <v>1141852.0666666669</v>
      </c>
      <c r="P130" s="38">
        <v>14505.4</v>
      </c>
      <c r="Q130" s="33">
        <v>894409.2</v>
      </c>
      <c r="R130" s="33">
        <v>4964</v>
      </c>
      <c r="S130" s="31">
        <f t="shared" si="13"/>
        <v>913878.6</v>
      </c>
      <c r="T130" s="35">
        <f t="shared" si="15"/>
        <v>2055730.666666667</v>
      </c>
      <c r="U130" s="31">
        <f t="shared" si="16"/>
        <v>1898605.3666666669</v>
      </c>
    </row>
    <row r="131" spans="1:21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11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8"/>
        <v>1518882.833333333</v>
      </c>
      <c r="M131" s="32">
        <v>293405.5</v>
      </c>
      <c r="N131" s="31">
        <v>59494.400000000001</v>
      </c>
      <c r="O131" s="33">
        <f t="shared" si="9"/>
        <v>1165982.9333333331</v>
      </c>
      <c r="P131" s="38">
        <v>14832.3</v>
      </c>
      <c r="Q131" s="33">
        <v>889153.7</v>
      </c>
      <c r="R131" s="33">
        <v>5359.7</v>
      </c>
      <c r="S131" s="31">
        <f t="shared" si="13"/>
        <v>909345.7</v>
      </c>
      <c r="T131" s="35">
        <f t="shared" si="15"/>
        <v>2075328.6333333331</v>
      </c>
      <c r="U131" s="31">
        <f t="shared" si="16"/>
        <v>1901146.533333333</v>
      </c>
    </row>
    <row r="132" spans="1:21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11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8"/>
        <v>1641511.9</v>
      </c>
      <c r="M132" s="32">
        <v>398416.1</v>
      </c>
      <c r="N132" s="31">
        <v>53521.5</v>
      </c>
      <c r="O132" s="33">
        <f t="shared" si="9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3"/>
        <v>970380</v>
      </c>
      <c r="T132" s="35">
        <f t="shared" si="15"/>
        <v>2159954.2999999998</v>
      </c>
      <c r="U132" s="31">
        <f t="shared" si="16"/>
        <v>1958698.5999999999</v>
      </c>
    </row>
    <row r="133" spans="1:21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11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8"/>
        <v>1602052.7333333334</v>
      </c>
      <c r="M133" s="32">
        <v>349061.9</v>
      </c>
      <c r="N133" s="31">
        <v>47099.000000000007</v>
      </c>
      <c r="O133" s="33">
        <f t="shared" si="9"/>
        <v>1205891.8333333335</v>
      </c>
      <c r="P133" s="38">
        <v>27074.999999999996</v>
      </c>
      <c r="Q133" s="33">
        <v>975970.7</v>
      </c>
      <c r="R133" s="33">
        <v>5486.6</v>
      </c>
      <c r="S133" s="31">
        <f t="shared" si="13"/>
        <v>1008532.2999999999</v>
      </c>
      <c r="T133" s="35">
        <f t="shared" si="15"/>
        <v>2214424.1333333333</v>
      </c>
      <c r="U133" s="31">
        <f t="shared" si="16"/>
        <v>2014672.0333333332</v>
      </c>
    </row>
    <row r="134" spans="1:21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11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8"/>
        <v>1628541.9666666666</v>
      </c>
      <c r="M134" s="32">
        <v>340200.7</v>
      </c>
      <c r="N134" s="31">
        <v>61491.499999999993</v>
      </c>
      <c r="O134" s="33">
        <f t="shared" si="9"/>
        <v>1226849.7666666666</v>
      </c>
      <c r="P134" s="38">
        <v>36096.699999999997</v>
      </c>
      <c r="Q134" s="33">
        <v>976985.2</v>
      </c>
      <c r="R134" s="33">
        <v>5519.4</v>
      </c>
      <c r="S134" s="31">
        <f t="shared" si="13"/>
        <v>1018601.2999999999</v>
      </c>
      <c r="T134" s="35">
        <f t="shared" si="15"/>
        <v>2245451.0666666664</v>
      </c>
      <c r="U134" s="31">
        <f t="shared" si="16"/>
        <v>2036693.1666666665</v>
      </c>
    </row>
    <row r="135" spans="1:21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11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ref="L135:L144" si="17">SUM(F135:K135)</f>
        <v>1658161.8000000003</v>
      </c>
      <c r="M135" s="32">
        <v>353050.4</v>
      </c>
      <c r="N135" s="31">
        <v>67423.399999999994</v>
      </c>
      <c r="O135" s="33">
        <f t="shared" ref="O135:O144" si="18">L135-M135-N135</f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3"/>
        <v>1027560.8</v>
      </c>
      <c r="T135" s="35">
        <f t="shared" si="15"/>
        <v>2265248.8000000007</v>
      </c>
      <c r="U135" s="31">
        <f t="shared" si="16"/>
        <v>2047964.1000000006</v>
      </c>
    </row>
    <row r="136" spans="1:21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ref="E136:E144" si="19">SUM(B136:D136)</f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358860.4</v>
      </c>
      <c r="N136" s="31">
        <v>71166.3</v>
      </c>
      <c r="O136" s="33">
        <f t="shared" si="18"/>
        <v>1273711.0333333334</v>
      </c>
      <c r="P136" s="38">
        <v>44255.700000000012</v>
      </c>
      <c r="Q136" s="33">
        <v>1011544.2</v>
      </c>
      <c r="R136" s="33">
        <v>5786.5</v>
      </c>
      <c r="S136" s="31">
        <f t="shared" si="13"/>
        <v>1061586.3999999999</v>
      </c>
      <c r="T136" s="35">
        <f t="shared" si="15"/>
        <v>2335297.4333333336</v>
      </c>
      <c r="U136" s="31">
        <f t="shared" si="16"/>
        <v>2123878.7333333334</v>
      </c>
    </row>
    <row r="137" spans="1:21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19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349956.5</v>
      </c>
      <c r="N137" s="31">
        <v>64784.799999999996</v>
      </c>
      <c r="O137" s="33">
        <f t="shared" si="18"/>
        <v>1312347.9666666666</v>
      </c>
      <c r="P137" s="38">
        <v>42729.400000000009</v>
      </c>
      <c r="Q137" s="33">
        <v>1016711.4</v>
      </c>
      <c r="R137" s="33">
        <v>5665.9</v>
      </c>
      <c r="S137" s="31">
        <f t="shared" si="13"/>
        <v>1065106.7</v>
      </c>
      <c r="T137" s="35">
        <f t="shared" si="15"/>
        <v>2377454.6666666665</v>
      </c>
      <c r="U137" s="31">
        <f t="shared" si="16"/>
        <v>2182740.2666666666</v>
      </c>
    </row>
    <row r="138" spans="1:21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si="19"/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983859.20000000019</v>
      </c>
      <c r="R138" s="33">
        <v>6028.8</v>
      </c>
      <c r="S138" s="31">
        <f t="shared" si="13"/>
        <v>1031951.6000000002</v>
      </c>
      <c r="T138" s="35">
        <f t="shared" si="15"/>
        <v>2369485.6</v>
      </c>
      <c r="U138" s="31">
        <f t="shared" si="16"/>
        <v>2166284.6</v>
      </c>
    </row>
    <row r="139" spans="1:21" s="37" customFormat="1" ht="18">
      <c r="A139" s="30" t="s">
        <v>65</v>
      </c>
      <c r="B139" s="32">
        <v>-182568.59999999998</v>
      </c>
      <c r="C139" s="32">
        <v>-55757.799999999988</v>
      </c>
      <c r="D139" s="32" t="s">
        <v>2</v>
      </c>
      <c r="E139" s="31">
        <f t="shared" si="19"/>
        <v>-238326.39999999997</v>
      </c>
      <c r="F139" s="32">
        <v>174198.6</v>
      </c>
      <c r="G139" s="32">
        <v>986516.79999999993</v>
      </c>
      <c r="H139" s="32"/>
      <c r="I139" s="32">
        <v>59277.799999999996</v>
      </c>
      <c r="J139" s="32">
        <v>40405.800000000003</v>
      </c>
      <c r="K139" s="32">
        <v>521293.6</v>
      </c>
      <c r="L139" s="33">
        <f t="shared" si="17"/>
        <v>1781692.6</v>
      </c>
      <c r="M139" s="32">
        <v>370633.2</v>
      </c>
      <c r="N139" s="31">
        <v>61052.1</v>
      </c>
      <c r="O139" s="33">
        <f t="shared" si="18"/>
        <v>1350007.3</v>
      </c>
      <c r="P139" s="38">
        <v>36041.299999999996</v>
      </c>
      <c r="Q139" s="33">
        <v>977163.1</v>
      </c>
      <c r="R139" s="33">
        <v>6363.7</v>
      </c>
      <c r="S139" s="31">
        <f t="shared" si="13"/>
        <v>1019568.1</v>
      </c>
      <c r="T139" s="35">
        <f t="shared" si="15"/>
        <v>2369575.4</v>
      </c>
      <c r="U139" s="31">
        <f t="shared" si="16"/>
        <v>2131249</v>
      </c>
    </row>
    <row r="140" spans="1:21" s="37" customFormat="1" ht="18">
      <c r="A140" s="30" t="s">
        <v>66</v>
      </c>
      <c r="B140" s="32">
        <v>-148014.80000000002</v>
      </c>
      <c r="C140" s="32">
        <v>-56830.499999999971</v>
      </c>
      <c r="D140" s="32" t="s">
        <v>2</v>
      </c>
      <c r="E140" s="31">
        <f t="shared" si="19"/>
        <v>-204845.3</v>
      </c>
      <c r="F140" s="32">
        <v>195688.4</v>
      </c>
      <c r="G140" s="32">
        <v>1016767.7000000001</v>
      </c>
      <c r="H140" s="32"/>
      <c r="I140" s="32">
        <v>59539.399999999994</v>
      </c>
      <c r="J140" s="32">
        <v>39012.5</v>
      </c>
      <c r="K140" s="32">
        <v>520084.5</v>
      </c>
      <c r="L140" s="33">
        <f t="shared" si="17"/>
        <v>1831092.5</v>
      </c>
      <c r="M140" s="32">
        <v>368080.4</v>
      </c>
      <c r="N140" s="31">
        <v>64711.1</v>
      </c>
      <c r="O140" s="33">
        <f t="shared" si="18"/>
        <v>1398301</v>
      </c>
      <c r="P140" s="38">
        <v>34014.400000000001</v>
      </c>
      <c r="Q140" s="33">
        <v>991824.5</v>
      </c>
      <c r="R140" s="33">
        <v>6912.9</v>
      </c>
      <c r="S140" s="31">
        <f t="shared" si="13"/>
        <v>1032751.8</v>
      </c>
      <c r="T140" s="35">
        <f t="shared" si="15"/>
        <v>2431052.7999999998</v>
      </c>
      <c r="U140" s="31">
        <f t="shared" si="16"/>
        <v>2226207.5</v>
      </c>
    </row>
    <row r="141" spans="1:21" s="37" customFormat="1" ht="18">
      <c r="A141" s="30" t="s">
        <v>67</v>
      </c>
      <c r="B141" s="32">
        <v>-166782.39999999999</v>
      </c>
      <c r="C141" s="32">
        <v>-62620.70000000007</v>
      </c>
      <c r="D141" s="32" t="s">
        <v>2</v>
      </c>
      <c r="E141" s="31">
        <f t="shared" si="19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59993.5</v>
      </c>
      <c r="J141" s="32">
        <v>36225.9</v>
      </c>
      <c r="K141" s="32">
        <v>518306</v>
      </c>
      <c r="L141" s="33">
        <f t="shared" si="17"/>
        <v>1873915.0999999999</v>
      </c>
      <c r="M141" s="32">
        <v>412450</v>
      </c>
      <c r="N141" s="31">
        <v>58269.8</v>
      </c>
      <c r="O141" s="33">
        <f t="shared" si="18"/>
        <v>1403195.2999999998</v>
      </c>
      <c r="P141" s="38">
        <v>32296.6</v>
      </c>
      <c r="Q141" s="33">
        <v>1008148.3000000002</v>
      </c>
      <c r="R141" s="33">
        <v>6662.7</v>
      </c>
      <c r="S141" s="31">
        <f t="shared" si="13"/>
        <v>1047107.6000000001</v>
      </c>
      <c r="T141" s="35">
        <f t="shared" si="15"/>
        <v>2450302.9</v>
      </c>
      <c r="U141" s="31">
        <f t="shared" si="16"/>
        <v>2220899.7999999998</v>
      </c>
    </row>
    <row r="142" spans="1:21" s="37" customFormat="1" ht="18">
      <c r="A142" s="30" t="s">
        <v>68</v>
      </c>
      <c r="B142" s="32">
        <f>138621.2-298492</f>
        <v>-159870.79999999999</v>
      </c>
      <c r="C142" s="32">
        <f>120674.2-197777.1</f>
        <v>-77102.900000000009</v>
      </c>
      <c r="D142" s="32" t="s">
        <v>2</v>
      </c>
      <c r="E142" s="31">
        <f t="shared" si="19"/>
        <v>-236973.7</v>
      </c>
      <c r="F142" s="32">
        <v>195994.1</v>
      </c>
      <c r="G142" s="32">
        <f>50233.1+1006432.8+19500</f>
        <v>1076165.9000000001</v>
      </c>
      <c r="H142" s="32"/>
      <c r="I142" s="32">
        <f>16025.6+44311.4</f>
        <v>60337</v>
      </c>
      <c r="J142" s="32">
        <v>36225.9</v>
      </c>
      <c r="K142" s="32">
        <v>517334.5</v>
      </c>
      <c r="L142" s="33">
        <f t="shared" si="17"/>
        <v>1886057.4000000001</v>
      </c>
      <c r="M142" s="32">
        <v>390323.7</v>
      </c>
      <c r="N142" s="31">
        <v>56955.6</v>
      </c>
      <c r="O142" s="33">
        <f t="shared" si="18"/>
        <v>1438778.1</v>
      </c>
      <c r="P142" s="38">
        <v>33330.999999999993</v>
      </c>
      <c r="Q142" s="33">
        <v>1004160.3</v>
      </c>
      <c r="R142" s="33">
        <v>6674.3</v>
      </c>
      <c r="S142" s="31">
        <f t="shared" si="13"/>
        <v>1044165.6000000001</v>
      </c>
      <c r="T142" s="35">
        <f t="shared" si="15"/>
        <v>2482943.7000000002</v>
      </c>
      <c r="U142" s="31">
        <f t="shared" si="16"/>
        <v>2245970</v>
      </c>
    </row>
    <row r="143" spans="1:21" s="37" customFormat="1" ht="18">
      <c r="A143" s="30" t="s">
        <v>73</v>
      </c>
      <c r="B143" s="32">
        <f>188353.4-322255.6</f>
        <v>-133902.19999999998</v>
      </c>
      <c r="C143" s="32">
        <f>142300.4-198646.2</f>
        <v>-56345.800000000017</v>
      </c>
      <c r="D143" s="32" t="s">
        <v>2</v>
      </c>
      <c r="E143" s="31">
        <f t="shared" si="19"/>
        <v>-190248</v>
      </c>
      <c r="F143" s="32">
        <v>191866.3</v>
      </c>
      <c r="G143" s="32">
        <f>45273+1055617.8+16915</f>
        <v>1117805.8</v>
      </c>
      <c r="H143" s="32"/>
      <c r="I143" s="32">
        <f>16025.6+43211.6</f>
        <v>59237.2</v>
      </c>
      <c r="J143" s="32">
        <v>34832.6</v>
      </c>
      <c r="K143" s="32">
        <v>515247.9</v>
      </c>
      <c r="L143" s="33">
        <f t="shared" si="17"/>
        <v>1918989.8000000003</v>
      </c>
      <c r="M143" s="32">
        <v>428305.4</v>
      </c>
      <c r="N143" s="31">
        <v>67301.8</v>
      </c>
      <c r="O143" s="33">
        <f t="shared" si="18"/>
        <v>1423382.6000000003</v>
      </c>
      <c r="P143" s="38">
        <f>28149+101.6</f>
        <v>28250.6</v>
      </c>
      <c r="Q143" s="33">
        <v>1036819.9</v>
      </c>
      <c r="R143" s="33">
        <v>6967</v>
      </c>
      <c r="S143" s="31">
        <f t="shared" si="13"/>
        <v>1072037.5</v>
      </c>
      <c r="T143" s="35">
        <f t="shared" si="15"/>
        <v>2495420.1000000006</v>
      </c>
      <c r="U143" s="31">
        <f t="shared" si="16"/>
        <v>2305172.1000000006</v>
      </c>
    </row>
    <row r="144" spans="1:21" s="37" customFormat="1" ht="18">
      <c r="A144" s="30" t="s">
        <v>72</v>
      </c>
      <c r="B144" s="32">
        <f>177153.1-298866.2</f>
        <v>-121713.1</v>
      </c>
      <c r="C144" s="32">
        <f>127120.2-199660</f>
        <v>-72539.8</v>
      </c>
      <c r="D144" s="32" t="s">
        <v>2</v>
      </c>
      <c r="E144" s="31">
        <f t="shared" si="19"/>
        <v>-194252.90000000002</v>
      </c>
      <c r="F144" s="32">
        <v>216009.2</v>
      </c>
      <c r="G144" s="32">
        <f>42174.9+1084518.3+16965</f>
        <v>1143658.2</v>
      </c>
      <c r="H144" s="32"/>
      <c r="I144" s="32">
        <f>16025.6+40707.7</f>
        <v>56733.299999999996</v>
      </c>
      <c r="J144" s="32">
        <v>32046</v>
      </c>
      <c r="K144" s="32">
        <v>514038.8</v>
      </c>
      <c r="L144" s="33">
        <f t="shared" si="17"/>
        <v>1962485.5</v>
      </c>
      <c r="M144" s="32">
        <v>427944.6</v>
      </c>
      <c r="N144" s="31">
        <v>62402.2</v>
      </c>
      <c r="O144" s="33">
        <f t="shared" si="18"/>
        <v>1472138.7</v>
      </c>
      <c r="P144" s="38">
        <f>23367.3+101.6</f>
        <v>23468.899999999998</v>
      </c>
      <c r="Q144" s="33">
        <v>1073690.6000000001</v>
      </c>
      <c r="R144" s="33">
        <v>6546.1</v>
      </c>
      <c r="S144" s="31">
        <f t="shared" si="13"/>
        <v>1103705.6000000001</v>
      </c>
      <c r="T144" s="35">
        <f t="shared" si="15"/>
        <v>2575844.2999999998</v>
      </c>
      <c r="U144" s="31">
        <f t="shared" si="16"/>
        <v>2381591.4</v>
      </c>
    </row>
    <row r="145" spans="1:23" s="37" customFormat="1" ht="18">
      <c r="A145" s="30" t="s">
        <v>70</v>
      </c>
      <c r="B145" s="32">
        <f>166708.8-300474.7</f>
        <v>-133765.90000000002</v>
      </c>
      <c r="C145" s="32">
        <f>130910.8-231174</f>
        <v>-100263.2</v>
      </c>
      <c r="D145" s="32" t="s">
        <v>2</v>
      </c>
      <c r="E145" s="31">
        <f t="shared" ref="E145:E147" si="20">+SUM(B145:D145)</f>
        <v>-234029.10000000003</v>
      </c>
      <c r="F145" s="32">
        <v>158917.5</v>
      </c>
      <c r="G145" s="32">
        <f>43953+1112283.8+13837</f>
        <v>1170073.8</v>
      </c>
      <c r="H145" s="32"/>
      <c r="I145" s="32">
        <f>16025.6+41061.9</f>
        <v>57087.5</v>
      </c>
      <c r="J145" s="32">
        <v>30652.7</v>
      </c>
      <c r="K145" s="32">
        <v>512829.7</v>
      </c>
      <c r="L145" s="33">
        <f t="shared" ref="L145:L147" si="21">+SUM(F145:K145)</f>
        <v>1929561.2</v>
      </c>
      <c r="M145" s="32">
        <v>385962.8</v>
      </c>
      <c r="N145" s="31">
        <v>69016.7</v>
      </c>
      <c r="O145" s="33">
        <f t="shared" ref="O145:O148" si="22">+L145-M145-N145</f>
        <v>1474581.7</v>
      </c>
      <c r="P145" s="38">
        <f>19521.9+101.6</f>
        <v>19623.5</v>
      </c>
      <c r="Q145" s="33">
        <v>1117284.0333333332</v>
      </c>
      <c r="R145" s="33">
        <v>6695.5999999999995</v>
      </c>
      <c r="S145" s="31">
        <f t="shared" ref="S145:S147" si="23">SUM(P145:R145)</f>
        <v>1143603.1333333333</v>
      </c>
      <c r="T145" s="35">
        <f t="shared" ref="T145:T148" si="24">SUM(O145,S145)</f>
        <v>2618184.833333333</v>
      </c>
      <c r="U145" s="31">
        <f t="shared" ref="U145:U148" si="25">SUM(E145,T145)</f>
        <v>2384155.7333333329</v>
      </c>
    </row>
    <row r="146" spans="1:23" s="37" customFormat="1" ht="18">
      <c r="A146" s="30" t="s">
        <v>71</v>
      </c>
      <c r="B146" s="32">
        <f>143964.8-295856.6</f>
        <v>-151891.79999999999</v>
      </c>
      <c r="C146" s="32">
        <f>131114.5-221742.4</f>
        <v>-90627.9</v>
      </c>
      <c r="D146" s="32" t="s">
        <v>2</v>
      </c>
      <c r="E146" s="31">
        <f t="shared" si="20"/>
        <v>-242519.69999999998</v>
      </c>
      <c r="F146" s="32">
        <v>0</v>
      </c>
      <c r="G146" s="32">
        <f>44613+1152737.1+15106</f>
        <v>1212456.1000000001</v>
      </c>
      <c r="H146" s="32"/>
      <c r="I146" s="32">
        <f>16025.6+41392</f>
        <v>57417.599999999999</v>
      </c>
      <c r="J146" s="32">
        <v>30652.7</v>
      </c>
      <c r="K146" s="32">
        <v>728838.8</v>
      </c>
      <c r="L146" s="33">
        <f t="shared" si="21"/>
        <v>2029365.2000000002</v>
      </c>
      <c r="M146" s="32">
        <v>467552.1</v>
      </c>
      <c r="N146" s="31">
        <v>76766.3</v>
      </c>
      <c r="O146" s="33">
        <f t="shared" si="22"/>
        <v>1485046.8</v>
      </c>
      <c r="P146" s="38">
        <f>19534+101.6</f>
        <v>19635.599999999999</v>
      </c>
      <c r="Q146" s="33">
        <v>1127544.6666666665</v>
      </c>
      <c r="R146" s="33">
        <v>6755.2</v>
      </c>
      <c r="S146" s="31">
        <f t="shared" si="23"/>
        <v>1153935.4666666666</v>
      </c>
      <c r="T146" s="35">
        <f t="shared" si="24"/>
        <v>2638982.2666666666</v>
      </c>
      <c r="U146" s="31">
        <f t="shared" si="25"/>
        <v>2396462.5666666664</v>
      </c>
    </row>
    <row r="147" spans="1:23" s="37" customFormat="1" ht="18">
      <c r="A147" s="30" t="s">
        <v>74</v>
      </c>
      <c r="B147" s="32">
        <f>152229.3-295964.1</f>
        <v>-143734.79999999999</v>
      </c>
      <c r="C147" s="32">
        <f>139248.5-223096</f>
        <v>-83847.5</v>
      </c>
      <c r="D147" s="32" t="s">
        <v>2</v>
      </c>
      <c r="E147" s="31">
        <f t="shared" si="20"/>
        <v>-227582.3</v>
      </c>
      <c r="F147" s="32">
        <v>0</v>
      </c>
      <c r="G147" s="32">
        <f>52783.1+1160384.5+28225</f>
        <v>1241392.6000000001</v>
      </c>
      <c r="H147" s="32"/>
      <c r="I147" s="32">
        <f>16025.6+48045</f>
        <v>64070.6</v>
      </c>
      <c r="J147" s="32">
        <v>29259.4</v>
      </c>
      <c r="K147" s="32">
        <v>727629.7</v>
      </c>
      <c r="L147" s="33">
        <f t="shared" si="21"/>
        <v>2062352.3</v>
      </c>
      <c r="M147" s="32">
        <v>478795.5</v>
      </c>
      <c r="N147" s="31">
        <v>82107.899999999994</v>
      </c>
      <c r="O147" s="33">
        <f t="shared" si="22"/>
        <v>1501448.9000000001</v>
      </c>
      <c r="P147" s="38">
        <f>25516+101.6</f>
        <v>25617.599999999999</v>
      </c>
      <c r="Q147" s="33">
        <f>1098721+4652.3+44030.8</f>
        <v>1147404.1000000001</v>
      </c>
      <c r="R147" s="33">
        <v>6686.4</v>
      </c>
      <c r="S147" s="31">
        <f t="shared" si="23"/>
        <v>1179708.1000000001</v>
      </c>
      <c r="T147" s="35">
        <f t="shared" si="24"/>
        <v>2681157</v>
      </c>
      <c r="U147" s="31">
        <f t="shared" si="25"/>
        <v>2453574.7000000002</v>
      </c>
    </row>
    <row r="148" spans="1:23" s="37" customFormat="1" ht="18">
      <c r="A148" s="30" t="s">
        <v>76</v>
      </c>
      <c r="B148" s="32">
        <f>139379.6-293793.8</f>
        <v>-154414.19999999998</v>
      </c>
      <c r="C148" s="32">
        <f>134768.5-216587.2</f>
        <v>-81818.700000000012</v>
      </c>
      <c r="D148" s="32" t="s">
        <v>2</v>
      </c>
      <c r="E148" s="31">
        <f t="shared" ref="E148" si="26">+SUM(B148:D148)</f>
        <v>-236232.9</v>
      </c>
      <c r="F148" s="32">
        <v>0</v>
      </c>
      <c r="G148" s="32">
        <f>53363+1194779.6+32675</f>
        <v>1280817.6000000001</v>
      </c>
      <c r="H148" s="32"/>
      <c r="I148" s="32">
        <f>16025.6+60022.3</f>
        <v>76047.900000000009</v>
      </c>
      <c r="J148" s="32">
        <v>26472.7</v>
      </c>
      <c r="K148" s="32">
        <v>725211.5</v>
      </c>
      <c r="L148" s="33">
        <f t="shared" ref="L148" si="27">+SUM(F148:K148)</f>
        <v>2108549.7000000002</v>
      </c>
      <c r="M148" s="32">
        <v>498990.7</v>
      </c>
      <c r="N148" s="31">
        <v>93562</v>
      </c>
      <c r="O148" s="33">
        <f t="shared" si="22"/>
        <v>1515997.0000000002</v>
      </c>
      <c r="P148" s="38">
        <f>25102.5+101.6</f>
        <v>25204.1</v>
      </c>
      <c r="Q148" s="33">
        <f>1118991.1+4652.3+45653.4</f>
        <v>1169296.8</v>
      </c>
      <c r="R148" s="33">
        <v>547.9</v>
      </c>
      <c r="S148" s="31">
        <f t="shared" ref="S148" si="28">SUM(P148:R148)</f>
        <v>1195048.8</v>
      </c>
      <c r="T148" s="35">
        <f t="shared" si="24"/>
        <v>2711045.8000000003</v>
      </c>
      <c r="U148" s="31">
        <f t="shared" si="25"/>
        <v>2474812.9000000004</v>
      </c>
    </row>
    <row r="149" spans="1:23" s="41" customFormat="1" ht="19.5">
      <c r="A149" s="47" t="s">
        <v>45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9"/>
      <c r="W149" s="42"/>
    </row>
    <row r="150" spans="1:23" s="37" customFormat="1" ht="15.75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2"/>
    </row>
  </sheetData>
  <mergeCells count="10">
    <mergeCell ref="A149:U150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5"/>
  <sheetViews>
    <sheetView workbookViewId="0">
      <pane xSplit="1" ySplit="6" topLeftCell="T51" activePane="bottomRight" state="frozen"/>
      <selection pane="topRight" activeCell="B1" sqref="B1"/>
      <selection pane="bottomLeft" activeCell="A7" sqref="A7"/>
      <selection pane="bottomRight" activeCell="U53" sqref="U53"/>
    </sheetView>
  </sheetViews>
  <sheetFormatPr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3" t="s">
        <v>55</v>
      </c>
      <c r="F2" s="43"/>
      <c r="G2" s="4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1638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16382" s="24" customFormat="1" ht="126">
      <c r="A6" s="66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52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52" si="7">SUM(F28:K28)</f>
        <v>489508.3</v>
      </c>
      <c r="M28" s="34">
        <v>190482.9</v>
      </c>
      <c r="N28" s="31">
        <v>15910.9</v>
      </c>
      <c r="O28" s="33">
        <f t="shared" ref="O28:O52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52" si="9">SUM(P28:R28)</f>
        <v>758772.8</v>
      </c>
      <c r="T28" s="35">
        <f t="shared" ref="T28:T52" si="10">S28+O28</f>
        <v>1041887.3</v>
      </c>
      <c r="U28" s="31">
        <f t="shared" ref="U28:U52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si="6"/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si="7"/>
        <v>1493251.9</v>
      </c>
      <c r="M47" s="32">
        <v>290474.59999999998</v>
      </c>
      <c r="N47" s="31">
        <v>56551.900000000009</v>
      </c>
      <c r="O47" s="33">
        <f t="shared" si="8"/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si="9"/>
        <v>908881.79999999993</v>
      </c>
      <c r="T47" s="35">
        <f t="shared" si="10"/>
        <v>2055107.1999999997</v>
      </c>
      <c r="U47" s="31">
        <f t="shared" si="11"/>
        <v>1885811.6999999997</v>
      </c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6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7"/>
        <v>1641511.9</v>
      </c>
      <c r="M48" s="32">
        <v>398416.1</v>
      </c>
      <c r="N48" s="31">
        <v>53521.5</v>
      </c>
      <c r="O48" s="33">
        <f t="shared" si="8"/>
        <v>1189574.2999999998</v>
      </c>
      <c r="P48" s="38">
        <v>24405.8</v>
      </c>
      <c r="Q48" s="33">
        <v>940441</v>
      </c>
      <c r="R48" s="33">
        <v>5533.2</v>
      </c>
      <c r="S48" s="31">
        <f t="shared" si="9"/>
        <v>970380</v>
      </c>
      <c r="T48" s="35">
        <f t="shared" si="10"/>
        <v>2159954.2999999998</v>
      </c>
      <c r="U48" s="31">
        <f t="shared" si="11"/>
        <v>1958698.5999999999</v>
      </c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6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7"/>
        <v>1658161.8000000003</v>
      </c>
      <c r="M49" s="32">
        <v>353050.4</v>
      </c>
      <c r="N49" s="31">
        <v>67423.399999999994</v>
      </c>
      <c r="O49" s="33">
        <f t="shared" si="8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9"/>
        <v>1027560.8</v>
      </c>
      <c r="T49" s="35">
        <f t="shared" si="10"/>
        <v>2265248.8000000007</v>
      </c>
      <c r="U49" s="31">
        <f t="shared" si="11"/>
        <v>2047964.1000000006</v>
      </c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si="6"/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7"/>
        <v>1763431.9</v>
      </c>
      <c r="M50" s="32">
        <v>353522.4</v>
      </c>
      <c r="N50" s="31">
        <v>72375.499999999985</v>
      </c>
      <c r="O50" s="33">
        <f t="shared" si="8"/>
        <v>1337534</v>
      </c>
      <c r="P50" s="38">
        <v>42063.6</v>
      </c>
      <c r="Q50" s="33">
        <v>983859.20000000019</v>
      </c>
      <c r="R50" s="33">
        <v>6028.8</v>
      </c>
      <c r="S50" s="31">
        <f t="shared" si="9"/>
        <v>1031951.6000000002</v>
      </c>
      <c r="T50" s="35">
        <f t="shared" si="10"/>
        <v>2369485.6</v>
      </c>
      <c r="U50" s="31">
        <f t="shared" si="11"/>
        <v>2166284.6</v>
      </c>
    </row>
    <row r="51" spans="1:22" s="37" customFormat="1" ht="18">
      <c r="A51" s="30" t="s">
        <v>67</v>
      </c>
      <c r="B51" s="32">
        <v>-166782.39999999999</v>
      </c>
      <c r="C51" s="32">
        <v>-62620.70000000007</v>
      </c>
      <c r="D51" s="32" t="s">
        <v>2</v>
      </c>
      <c r="E51" s="31">
        <f t="shared" si="6"/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59993.5</v>
      </c>
      <c r="J51" s="32">
        <v>36225.9</v>
      </c>
      <c r="K51" s="32">
        <v>518306</v>
      </c>
      <c r="L51" s="33">
        <f t="shared" si="7"/>
        <v>1873915.0999999999</v>
      </c>
      <c r="M51" s="32">
        <v>412450</v>
      </c>
      <c r="N51" s="31">
        <v>58269.8</v>
      </c>
      <c r="O51" s="33">
        <f t="shared" si="8"/>
        <v>1403195.2999999998</v>
      </c>
      <c r="P51" s="38">
        <v>32296.6</v>
      </c>
      <c r="Q51" s="33">
        <v>1008148.3000000002</v>
      </c>
      <c r="R51" s="33">
        <v>6662.7</v>
      </c>
      <c r="S51" s="31">
        <f t="shared" si="9"/>
        <v>1047107.6000000001</v>
      </c>
      <c r="T51" s="35">
        <f t="shared" si="10"/>
        <v>2450302.9</v>
      </c>
      <c r="U51" s="31">
        <f t="shared" si="11"/>
        <v>2220899.7999999998</v>
      </c>
    </row>
    <row r="52" spans="1:22" s="37" customFormat="1" ht="18">
      <c r="A52" s="30" t="s">
        <v>69</v>
      </c>
      <c r="B52" s="32">
        <f>177153.1-298866.2</f>
        <v>-121713.1</v>
      </c>
      <c r="C52" s="32">
        <f>127120.2-199660</f>
        <v>-72539.8</v>
      </c>
      <c r="D52" s="32" t="s">
        <v>2</v>
      </c>
      <c r="E52" s="31">
        <f t="shared" si="6"/>
        <v>-194252.90000000002</v>
      </c>
      <c r="F52" s="32">
        <v>216009.2</v>
      </c>
      <c r="G52" s="32">
        <f>42174.9+1084518.3+16965</f>
        <v>1143658.2</v>
      </c>
      <c r="H52" s="32"/>
      <c r="I52" s="32">
        <f>16025.6+40707.7</f>
        <v>56733.299999999996</v>
      </c>
      <c r="J52" s="32">
        <v>32046</v>
      </c>
      <c r="K52" s="32">
        <v>514038.8</v>
      </c>
      <c r="L52" s="33">
        <f t="shared" si="7"/>
        <v>1962485.5</v>
      </c>
      <c r="M52" s="32">
        <v>427944.6</v>
      </c>
      <c r="N52" s="31">
        <v>62402.2</v>
      </c>
      <c r="O52" s="33">
        <f t="shared" si="8"/>
        <v>1472138.7</v>
      </c>
      <c r="P52" s="38">
        <f>23367.3+101.6</f>
        <v>23468.899999999998</v>
      </c>
      <c r="Q52" s="33">
        <v>1073690.6000000001</v>
      </c>
      <c r="R52" s="33">
        <v>6546.1</v>
      </c>
      <c r="S52" s="31">
        <f t="shared" si="9"/>
        <v>1103705.6000000001</v>
      </c>
      <c r="T52" s="35">
        <f t="shared" si="10"/>
        <v>2575844.2999999998</v>
      </c>
      <c r="U52" s="31">
        <f t="shared" si="11"/>
        <v>2381591.4</v>
      </c>
    </row>
    <row r="53" spans="1:22" s="37" customFormat="1" ht="18">
      <c r="A53" s="30" t="s">
        <v>74</v>
      </c>
      <c r="B53" s="32">
        <f>152229.3-295964.1</f>
        <v>-143734.79999999999</v>
      </c>
      <c r="C53" s="32">
        <f>139248.5-223096</f>
        <v>-83847.5</v>
      </c>
      <c r="D53" s="32" t="s">
        <v>2</v>
      </c>
      <c r="E53" s="31">
        <f t="shared" ref="E53" si="12">+SUM(B53:D53)</f>
        <v>-227582.3</v>
      </c>
      <c r="F53" s="32">
        <v>0</v>
      </c>
      <c r="G53" s="32">
        <f>52783.1+1160384.5+28225</f>
        <v>1241392.6000000001</v>
      </c>
      <c r="H53" s="32"/>
      <c r="I53" s="32">
        <f>16025.6+48045</f>
        <v>64070.6</v>
      </c>
      <c r="J53" s="32">
        <v>29259.4</v>
      </c>
      <c r="K53" s="32">
        <v>727629.7</v>
      </c>
      <c r="L53" s="33">
        <f t="shared" ref="L53" si="13">+SUM(F53:K53)</f>
        <v>2062352.3</v>
      </c>
      <c r="M53" s="32">
        <v>478795.5</v>
      </c>
      <c r="N53" s="31">
        <v>82107.899999999994</v>
      </c>
      <c r="O53" s="33">
        <f t="shared" ref="O53" si="14">+L53-M53-N53</f>
        <v>1501448.9000000001</v>
      </c>
      <c r="P53" s="38">
        <f>25516+101.6</f>
        <v>25617.599999999999</v>
      </c>
      <c r="Q53" s="33">
        <f>1098721+4652.3+44030.8</f>
        <v>1147404.1000000001</v>
      </c>
      <c r="R53" s="33">
        <v>6686.4</v>
      </c>
      <c r="S53" s="31">
        <f t="shared" ref="S53" si="15">SUM(P53:R53)</f>
        <v>1179708.1000000001</v>
      </c>
      <c r="T53" s="35">
        <f t="shared" ref="T53" si="16">SUM(O53,S53)</f>
        <v>2681157</v>
      </c>
      <c r="U53" s="31">
        <f t="shared" ref="U53" si="17">SUM(E53,T53)</f>
        <v>2453574.7000000002</v>
      </c>
    </row>
    <row r="54" spans="1:22" s="37" customFormat="1" ht="15.75">
      <c r="A54" s="47" t="s">
        <v>45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36"/>
    </row>
    <row r="55" spans="1:22" s="37" customFormat="1" ht="15.7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2"/>
      <c r="V55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54:U55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"/>
  <sheetViews>
    <sheetView workbookViewId="0">
      <pane xSplit="1" ySplit="6" topLeftCell="S13" activePane="bottomRight" state="frozen"/>
      <selection pane="topRight" activeCell="B1" sqref="B1"/>
      <selection pane="bottomLeft" activeCell="A7" sqref="A7"/>
      <selection pane="bottomRight" activeCell="V14" sqref="V14"/>
    </sheetView>
  </sheetViews>
  <sheetFormatPr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3" t="s">
        <v>55</v>
      </c>
      <c r="F2" s="43"/>
      <c r="G2" s="4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2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22" s="24" customFormat="1" ht="90">
      <c r="A6" s="66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7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5.75">
      <c r="A18" s="47" t="s">
        <v>45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36"/>
    </row>
    <row r="19" spans="1:22" s="37" customFormat="1" ht="15.7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2"/>
      <c r="V19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8:U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2020-01-13T09:19:07Z</dcterms:modified>
</cp:coreProperties>
</file>