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<sst xmlns="http://schemas.openxmlformats.org/spreadsheetml/2006/main" count="608" uniqueCount="67">
  <si>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</si>
  <si>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</si>
  <si>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</si>
  <si>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</si>
  <si>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</si>
  <si>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</si>
  <si>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</si>
  <si>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</si>
  <si>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</si>
  <si>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</si>
  <si>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</si>
  <si>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</si>
  <si>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</si>
  <si>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</si>
  <si>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</si>
  <si>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</si>
  <si>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</si>
  <si>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</si>
  <si>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</si>
  <si>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</si>
  <si>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</si>
  <si>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</si>
  <si>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</si>
  <si>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</si>
  <si>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</si>
  <si>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</si>
  <si>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</si>
  <si>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</si>
  <si>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</si>
  <si>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</si>
  <si>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</si>
  <si>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</si>
  <si>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</si>
  <si>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</si>
  <si>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</si>
  <si>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</si>
  <si>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</si>
  <si>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</si>
  <si>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</si>
  <si>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</si>
  <si>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</si>
  <si>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</si>
  <si>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</si>
  <si>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</si>
  <si>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</si>
  <si>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</si>
  <si>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</si>
  <si>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</si>
  <si>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</si>
  <si>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</si>
  <si>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</si>
  <si>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</si>
  <si>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</si>
  <si>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</si>
  <si>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</si>
  <si>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</si>
  <si>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</si>
  <si>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</si>
  <si>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</si>
  <si>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</si>
  <si>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</si>
  <si>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t>2021</t>
  </si>
  <si>
    <r>
      <t>Janvier-22</t>
    </r>
    <r>
      <rPr>
        <vertAlign val="superscript"/>
        <sz val="12"/>
        <rFont val="Calibri"/>
        <family val="2"/>
      </rPr>
      <t>(p)</t>
    </r>
  </si>
  <si>
    <r>
      <t>Février-22</t>
    </r>
    <r>
      <rPr>
        <vertAlign val="superscript"/>
        <sz val="12"/>
        <rFont val="Calibri"/>
        <family val="2"/>
      </rPr>
      <t>(p)</t>
    </r>
  </si>
  <si>
    <t>Q1-2022</t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</si>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</sst>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196" fontId="27" fillId="0" borderId="14" xfId="0" applyNumberFormat="1" applyFont="1" applyFill="1" applyBorder="1" applyAlignment="1" applyProtection="1">
      <alignment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 quotePrefix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205" fontId="27" fillId="0" borderId="13" xfId="0" applyNumberFormat="1" applyFont="1" applyFill="1" applyBorder="1" applyAlignment="1" quotePrefix="1">
      <alignment horizontal="left"/>
    </xf>
    <xf numFmtId="196" fontId="27" fillId="0" borderId="13" xfId="0" applyNumberFormat="1" applyFont="1" applyFill="1" applyBorder="1" applyAlignment="1" applyProtection="1">
      <alignment horizontal="right"/>
      <protection/>
    </xf>
    <xf numFmtId="196" fontId="27" fillId="0" borderId="13" xfId="0" applyFont="1" applyFill="1" applyBorder="1" applyAlignment="1">
      <alignment horizontal="right"/>
    </xf>
    <xf numFmtId="199" fontId="27" fillId="0" borderId="13" xfId="0" applyNumberFormat="1" applyFont="1" applyBorder="1" applyAlignment="1" applyProtection="1">
      <alignment/>
      <protection/>
    </xf>
    <xf numFmtId="196" fontId="27" fillId="0" borderId="13" xfId="0" applyNumberFormat="1" applyFont="1" applyFill="1" applyBorder="1" applyAlignment="1" applyProtection="1" quotePrefix="1">
      <alignment horizontal="right"/>
      <protection/>
    </xf>
    <xf numFmtId="196" fontId="27" fillId="33" borderId="13" xfId="0" applyNumberFormat="1" applyFont="1" applyFill="1" applyBorder="1" applyAlignment="1" applyProtection="1">
      <alignment horizontal="right"/>
      <protection/>
    </xf>
    <xf numFmtId="201" fontId="27" fillId="0" borderId="13" xfId="0" applyNumberFormat="1" applyFont="1" applyFill="1" applyBorder="1" applyAlignment="1" applyProtection="1">
      <alignment horizontal="right"/>
      <protection/>
    </xf>
    <xf numFmtId="199" fontId="27" fillId="0" borderId="13" xfId="0" applyNumberFormat="1" applyFont="1" applyFill="1" applyBorder="1" applyAlignment="1" applyProtection="1">
      <alignment horizontal="right"/>
      <protection/>
    </xf>
    <xf numFmtId="202" fontId="27" fillId="0" borderId="13" xfId="0" applyNumberFormat="1" applyFont="1" applyBorder="1" applyAlignment="1" applyProtection="1" quotePrefix="1">
      <alignment horizontal="left"/>
      <protection/>
    </xf>
    <xf numFmtId="196" fontId="27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53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5" fillId="6" borderId="0" xfId="53" applyFill="1" applyAlignment="1" applyProtection="1">
      <alignment/>
      <protection/>
    </xf>
    <xf numFmtId="196" fontId="5" fillId="0" borderId="14" xfId="53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53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5" fillId="0" borderId="13" xfId="0" applyNumberFormat="1" applyFont="1" applyFill="1" applyBorder="1" applyAlignment="1" applyProtection="1">
      <alignment horizontal="center"/>
      <protection/>
    </xf>
    <xf numFmtId="196" fontId="36" fillId="0" borderId="0" xfId="0" applyFont="1" applyAlignment="1">
      <alignment/>
    </xf>
    <xf numFmtId="196" fontId="27" fillId="0" borderId="0" xfId="0" applyFont="1" applyFill="1" applyAlignment="1">
      <alignment/>
    </xf>
    <xf numFmtId="205" fontId="36" fillId="0" borderId="13" xfId="0" applyNumberFormat="1" applyFont="1" applyFill="1" applyBorder="1" applyAlignment="1" quotePrefix="1">
      <alignment horizontal="left"/>
    </xf>
    <xf numFmtId="196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0" borderId="13" xfId="0" applyFont="1" applyFill="1" applyBorder="1" applyAlignment="1">
      <alignment horizontal="right"/>
    </xf>
    <xf numFmtId="199" fontId="36" fillId="0" borderId="13" xfId="0" applyNumberFormat="1" applyFont="1" applyBorder="1" applyAlignment="1">
      <alignment/>
    </xf>
    <xf numFmtId="196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33" borderId="13" xfId="0" applyNumberFormat="1" applyFont="1" applyFill="1" applyBorder="1" applyAlignment="1" applyProtection="1">
      <alignment horizontal="right"/>
      <protection/>
    </xf>
    <xf numFmtId="201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Border="1" applyAlignment="1" applyProtection="1">
      <alignment/>
      <protection/>
    </xf>
    <xf numFmtId="196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198" fontId="28" fillId="35" borderId="13" xfId="0" applyNumberFormat="1" applyFont="1" applyFill="1" applyBorder="1" applyAlignment="1" applyProtection="1">
      <alignment vertical="center" wrapText="1"/>
      <protection/>
    </xf>
    <xf numFmtId="199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vertical="center"/>
      <protection/>
    </xf>
    <xf numFmtId="196" fontId="36" fillId="0" borderId="13" xfId="0" applyNumberFormat="1" applyFont="1" applyFill="1" applyBorder="1" applyAlignment="1" applyProtection="1">
      <alignment horizontal="center"/>
      <protection/>
    </xf>
    <xf numFmtId="198" fontId="36" fillId="0" borderId="13" xfId="0" applyNumberFormat="1" applyFont="1" applyFill="1" applyBorder="1" applyAlignment="1" applyProtection="1">
      <alignment horizontal="center"/>
      <protection/>
    </xf>
    <xf numFmtId="196" fontId="36" fillId="33" borderId="13" xfId="0" applyNumberFormat="1" applyFont="1" applyFill="1" applyBorder="1" applyAlignment="1" applyProtection="1">
      <alignment horizontal="center"/>
      <protection/>
    </xf>
    <xf numFmtId="199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96" fontId="35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196" fontId="35" fillId="0" borderId="19" xfId="0" applyFont="1" applyFill="1" applyBorder="1" applyAlignment="1">
      <alignment horizontal="left"/>
    </xf>
    <xf numFmtId="196" fontId="35" fillId="0" borderId="20" xfId="0" applyFont="1" applyFill="1" applyBorder="1" applyAlignment="1">
      <alignment horizontal="left"/>
    </xf>
    <xf numFmtId="196" fontId="35" fillId="0" borderId="21" xfId="0" applyFont="1" applyFill="1" applyBorder="1" applyAlignment="1">
      <alignment horizontal="left"/>
    </xf>
    <xf numFmtId="196" fontId="28" fillId="0" borderId="14" xfId="0" applyNumberFormat="1" applyFont="1" applyFill="1" applyBorder="1" applyAlignment="1" applyProtection="1">
      <alignment horizontal="center"/>
      <protection/>
    </xf>
    <xf numFmtId="196" fontId="28" fillId="0" borderId="0" xfId="0" applyNumberFormat="1" applyFont="1" applyFill="1" applyBorder="1" applyAlignment="1" applyProtection="1">
      <alignment horizontal="center"/>
      <protection/>
    </xf>
    <xf numFmtId="196" fontId="28" fillId="0" borderId="12" xfId="0" applyNumberFormat="1" applyFont="1" applyFill="1" applyBorder="1" applyAlignment="1" applyProtection="1">
      <alignment horizontal="center"/>
      <protection/>
    </xf>
    <xf numFmtId="196" fontId="28" fillId="35" borderId="13" xfId="0" applyNumberFormat="1" applyFont="1" applyFill="1" applyBorder="1" applyAlignment="1" applyProtection="1">
      <alignment horizontal="center" vertical="center"/>
      <protection/>
    </xf>
    <xf numFmtId="196" fontId="28" fillId="35" borderId="22" xfId="0" applyNumberFormat="1" applyFont="1" applyFill="1" applyBorder="1" applyAlignment="1" applyProtection="1">
      <alignment horizontal="center" vertical="center"/>
      <protection/>
    </xf>
    <xf numFmtId="196" fontId="28" fillId="35" borderId="23" xfId="0" applyNumberFormat="1" applyFont="1" applyFill="1" applyBorder="1" applyAlignment="1" applyProtection="1">
      <alignment horizontal="center" vertical="center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zoomScalePageLayoutView="0" workbookViewId="0" topLeftCell="D10">
      <selection activeCell="F15" sqref="F15"/>
    </sheetView>
  </sheetViews>
  <sheetFormatPr defaultColWidth="8.88671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11.5546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44681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64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61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0"/>
  <sheetViews>
    <sheetView tabSelected="1" zoomScalePageLayoutView="0" workbookViewId="0" topLeftCell="A1">
      <pane xSplit="1" ySplit="6" topLeftCell="T1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77" sqref="S177:S178"/>
    </sheetView>
  </sheetViews>
  <sheetFormatPr defaultColWidth="8.88671875" defaultRowHeight="15.75"/>
  <cols>
    <col min="1" max="1" width="15.44531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  <col min="22" max="16384" width="11.5546875" style="0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38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38">SUM(J7:R7)</f>
        <v>113889.99999999999</v>
      </c>
      <c r="T7" s="65">
        <v>365559.8</v>
      </c>
      <c r="U7" s="65">
        <f aca="true" t="shared" si="2" ref="U7:U38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aca="true" t="shared" si="3" ref="I39:I70">SUM(B39:H39)</f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aca="true" t="shared" si="4" ref="S39:S70">SUM(J39:R39)</f>
        <v>184266.00000000003</v>
      </c>
      <c r="T39" s="65">
        <v>637143.3</v>
      </c>
      <c r="U39" s="65">
        <f aca="true" t="shared" si="5" ref="U39:U70">T39/I39</f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3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4"/>
        <v>165034.60000000006</v>
      </c>
      <c r="T40" s="65">
        <v>628055.3</v>
      </c>
      <c r="U40" s="65">
        <f t="shared" si="5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3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4"/>
        <v>180713.60000000006</v>
      </c>
      <c r="T41" s="65">
        <v>640335.809</v>
      </c>
      <c r="U41" s="65">
        <f t="shared" si="5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3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4"/>
        <v>211638.8</v>
      </c>
      <c r="T42" s="65">
        <v>706363.915503</v>
      </c>
      <c r="U42" s="65">
        <f t="shared" si="5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3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4"/>
        <v>191903.09999999998</v>
      </c>
      <c r="T43" s="65">
        <v>670982.581568</v>
      </c>
      <c r="U43" s="65">
        <f t="shared" si="5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3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4"/>
        <v>177728.00000000003</v>
      </c>
      <c r="T44" s="65">
        <v>671842.2</v>
      </c>
      <c r="U44" s="65">
        <f t="shared" si="5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3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4"/>
        <v>194132.79999999996</v>
      </c>
      <c r="T45" s="65">
        <v>692784.316288</v>
      </c>
      <c r="U45" s="65">
        <f t="shared" si="5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3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4"/>
        <v>197672.19999999998</v>
      </c>
      <c r="T46" s="65">
        <v>699305.0000000001</v>
      </c>
      <c r="U46" s="65">
        <f t="shared" si="5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3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4"/>
        <v>192955.90000000002</v>
      </c>
      <c r="T47" s="65">
        <v>704920.1162879999</v>
      </c>
      <c r="U47" s="65">
        <f t="shared" si="5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3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4"/>
        <v>210990.8000000001</v>
      </c>
      <c r="T48" s="65">
        <v>728615.808725</v>
      </c>
      <c r="U48" s="65">
        <f t="shared" si="5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3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4"/>
        <v>225625.4</v>
      </c>
      <c r="T49" s="65">
        <v>763394.208420111</v>
      </c>
      <c r="U49" s="65">
        <f t="shared" si="5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3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4"/>
        <v>221706.30000000008</v>
      </c>
      <c r="T50" s="65">
        <v>757596.139141222</v>
      </c>
      <c r="U50" s="65">
        <f t="shared" si="5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3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4"/>
        <v>207640.3000000001</v>
      </c>
      <c r="T51" s="65">
        <v>726660.4833333334</v>
      </c>
      <c r="U51" s="65">
        <f t="shared" si="5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3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4"/>
        <v>194451.80000000005</v>
      </c>
      <c r="T52" s="65">
        <v>731234.3208424444</v>
      </c>
      <c r="U52" s="65">
        <f t="shared" si="5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3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4"/>
        <v>183951.3</v>
      </c>
      <c r="T53" s="65">
        <v>716747.6123395556</v>
      </c>
      <c r="U53" s="65">
        <f t="shared" si="5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3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4"/>
        <v>211326.1</v>
      </c>
      <c r="T54" s="65">
        <v>755801.5666666665</v>
      </c>
      <c r="U54" s="65">
        <f t="shared" si="5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3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4"/>
        <v>189585.80000000025</v>
      </c>
      <c r="T55" s="65">
        <v>751114.8589367779</v>
      </c>
      <c r="U55" s="65">
        <f t="shared" si="5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3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4"/>
        <v>199522.60000000003</v>
      </c>
      <c r="T56" s="65">
        <v>752007.526864889</v>
      </c>
      <c r="U56" s="65">
        <f t="shared" si="5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3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4"/>
        <v>193687.60000000015</v>
      </c>
      <c r="T57" s="65">
        <v>742473.75</v>
      </c>
      <c r="U57" s="65">
        <f t="shared" si="5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3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4"/>
        <v>203580.70000000007</v>
      </c>
      <c r="T58" s="65">
        <v>754201.1288121111</v>
      </c>
      <c r="U58" s="65">
        <f t="shared" si="5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3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4"/>
        <v>204863.9</v>
      </c>
      <c r="T59" s="65">
        <v>743975.0069102221</v>
      </c>
      <c r="U59" s="65">
        <f t="shared" si="5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3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4"/>
        <v>217934.99999999997</v>
      </c>
      <c r="T60" s="65">
        <v>765737.4695173332</v>
      </c>
      <c r="U60" s="65">
        <f t="shared" si="5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3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4"/>
        <v>231940.30000000002</v>
      </c>
      <c r="T61" s="65">
        <v>786457.4305671111</v>
      </c>
      <c r="U61" s="65">
        <f t="shared" si="5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3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4"/>
        <v>229997.3</v>
      </c>
      <c r="T62" s="65">
        <v>817967.6353208888</v>
      </c>
      <c r="U62" s="65">
        <f t="shared" si="5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3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4"/>
        <v>221174.19999999995</v>
      </c>
      <c r="T63" s="65">
        <v>809062.7666666668</v>
      </c>
      <c r="U63" s="65">
        <f t="shared" si="5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3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4"/>
        <v>234181.00000000012</v>
      </c>
      <c r="T64" s="65">
        <v>816104.3444444445</v>
      </c>
      <c r="U64" s="65">
        <f t="shared" si="5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3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4"/>
        <v>240037.40000000002</v>
      </c>
      <c r="T65" s="65">
        <v>827421.6222222222</v>
      </c>
      <c r="U65" s="65">
        <f t="shared" si="5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3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4"/>
        <v>267286.10000000003</v>
      </c>
      <c r="T66" s="65">
        <v>877253.3</v>
      </c>
      <c r="U66" s="65">
        <f t="shared" si="5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t="shared" si="3"/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t="shared" si="4"/>
        <v>235410.59999999992</v>
      </c>
      <c r="T67" s="65">
        <v>870333.6916666667</v>
      </c>
      <c r="U67" s="65">
        <f t="shared" si="5"/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aca="true" t="shared" si="6" ref="I71:I102">SUM(B71:H71)</f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aca="true" t="shared" si="7" ref="S71:S102">SUM(J71:R71)</f>
        <v>259272.8000000001</v>
      </c>
      <c r="T71" s="65">
        <v>928294.3583333334</v>
      </c>
      <c r="U71" s="65">
        <f aca="true" t="shared" si="8" ref="U71:U102">T71/I71</f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6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7"/>
        <v>280590.0000000001</v>
      </c>
      <c r="T72" s="65">
        <v>927922.8499999996</v>
      </c>
      <c r="U72" s="65">
        <f t="shared" si="8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6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7"/>
        <v>255158.6000000001</v>
      </c>
      <c r="T73" s="65">
        <v>933506.9083333334</v>
      </c>
      <c r="U73" s="65">
        <f t="shared" si="8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6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7"/>
        <v>288866.1</v>
      </c>
      <c r="T74" s="65">
        <v>956476.3666666668</v>
      </c>
      <c r="U74" s="65">
        <f t="shared" si="8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6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7"/>
        <v>277412.60000000003</v>
      </c>
      <c r="T75" s="65">
        <v>956466.325</v>
      </c>
      <c r="U75" s="65">
        <f t="shared" si="8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6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7"/>
        <v>289221.89999999997</v>
      </c>
      <c r="T76" s="65">
        <v>960604.4833333332</v>
      </c>
      <c r="U76" s="65">
        <f t="shared" si="8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6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7"/>
        <v>287392.50000000006</v>
      </c>
      <c r="T77" s="65">
        <v>963431.5416666665</v>
      </c>
      <c r="U77" s="65">
        <f t="shared" si="8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6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7"/>
        <v>306586.0999999999</v>
      </c>
      <c r="T78" s="65">
        <v>986748.8</v>
      </c>
      <c r="U78" s="65">
        <f t="shared" si="8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6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7"/>
        <v>272888.5</v>
      </c>
      <c r="T79" s="65">
        <v>965205.5833333333</v>
      </c>
      <c r="U79" s="65">
        <f t="shared" si="8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6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7"/>
        <v>266243.89999999997</v>
      </c>
      <c r="T80" s="65">
        <v>976744.4666666668</v>
      </c>
      <c r="U80" s="65">
        <f t="shared" si="8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6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7"/>
        <v>276199.49999999994</v>
      </c>
      <c r="T81" s="65">
        <v>988233.8499999999</v>
      </c>
      <c r="U81" s="65">
        <f t="shared" si="8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6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7"/>
        <v>307052.19999999995</v>
      </c>
      <c r="T82" s="65">
        <v>1033925.333333333</v>
      </c>
      <c r="U82" s="65">
        <f t="shared" si="8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6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7"/>
        <v>318437.3999999999</v>
      </c>
      <c r="T83" s="65">
        <v>1024057.3166666667</v>
      </c>
      <c r="U83" s="65">
        <f t="shared" si="8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6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7"/>
        <v>334898.5</v>
      </c>
      <c r="T84" s="65">
        <v>1050599.4</v>
      </c>
      <c r="U84" s="65">
        <f t="shared" si="8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6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7"/>
        <v>342838.1</v>
      </c>
      <c r="T85" s="65">
        <v>1100681.2666666664</v>
      </c>
      <c r="U85" s="65">
        <f t="shared" si="8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6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7"/>
        <v>338034.80000000005</v>
      </c>
      <c r="T86" s="65">
        <v>1093021.7555555557</v>
      </c>
      <c r="U86" s="65">
        <f t="shared" si="8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6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7"/>
        <v>309676.1000000001</v>
      </c>
      <c r="T87" s="65">
        <v>1052584.2055555554</v>
      </c>
      <c r="U87" s="65">
        <f t="shared" si="8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6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7"/>
        <v>370345.99999999994</v>
      </c>
      <c r="T88" s="65">
        <v>1089090.962962963</v>
      </c>
      <c r="U88" s="65">
        <f t="shared" si="8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6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7"/>
        <v>330835.7</v>
      </c>
      <c r="T89" s="65">
        <v>1056615.1586419751</v>
      </c>
      <c r="U89" s="65">
        <f t="shared" si="8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6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7"/>
        <v>355001</v>
      </c>
      <c r="T90" s="65">
        <v>1107089.4000000001</v>
      </c>
      <c r="U90" s="65">
        <f t="shared" si="8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6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7"/>
        <v>317812.4000000001</v>
      </c>
      <c r="T91" s="65">
        <v>1079164.5833333333</v>
      </c>
      <c r="U91" s="65">
        <f t="shared" si="8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6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7"/>
        <v>361346.3999999999</v>
      </c>
      <c r="T92" s="65">
        <v>1089757.0666666664</v>
      </c>
      <c r="U92" s="65">
        <f t="shared" si="8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6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7"/>
        <v>302797.2</v>
      </c>
      <c r="T93" s="65">
        <v>1064238.65</v>
      </c>
      <c r="U93" s="65">
        <f t="shared" si="8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6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7"/>
        <v>320419.2</v>
      </c>
      <c r="T94" s="65">
        <v>1108914.6333333335</v>
      </c>
      <c r="U94" s="65">
        <f t="shared" si="8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6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7"/>
        <v>331762.89999999997</v>
      </c>
      <c r="T95" s="65">
        <v>1127841.6166666667</v>
      </c>
      <c r="U95" s="65">
        <f t="shared" si="8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6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7"/>
        <v>334494.89999999997</v>
      </c>
      <c r="T96" s="65">
        <v>1104077.7999999996</v>
      </c>
      <c r="U96" s="65">
        <f t="shared" si="8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6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7"/>
        <v>327878.70000000007</v>
      </c>
      <c r="T97" s="65">
        <v>1102324</v>
      </c>
      <c r="U97" s="65">
        <f t="shared" si="8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6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7"/>
        <v>328735.20000000007</v>
      </c>
      <c r="T98" s="65">
        <v>1110766.5777777778</v>
      </c>
      <c r="U98" s="65">
        <f t="shared" si="8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6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7"/>
        <v>314314</v>
      </c>
      <c r="T99" s="65">
        <v>1107152.9944444443</v>
      </c>
      <c r="U99" s="65">
        <f t="shared" si="8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6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7"/>
        <v>354013.80000000005</v>
      </c>
      <c r="T100" s="65">
        <v>1146162.1703703701</v>
      </c>
      <c r="U100" s="65">
        <f t="shared" si="8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6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7"/>
        <v>320756.6</v>
      </c>
      <c r="T101" s="65">
        <v>1088495.485802469</v>
      </c>
      <c r="U101" s="65">
        <f t="shared" si="8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6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7"/>
        <v>324508.2</v>
      </c>
      <c r="T102" s="65">
        <v>1106380</v>
      </c>
      <c r="U102" s="65">
        <f t="shared" si="8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aca="true" t="shared" si="9" ref="I103:I114">SUM(B103:H103)</f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aca="true" t="shared" si="10" ref="S103:S134">SUM(J103:R103)</f>
        <v>329804.89999999997</v>
      </c>
      <c r="T103" s="65">
        <v>1091814.066666667</v>
      </c>
      <c r="U103" s="65">
        <f aca="true" t="shared" si="11" ref="U103:U134">T103/I103</f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9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10"/>
        <v>333847.9</v>
      </c>
      <c r="T104" s="65">
        <v>1108364.6333333333</v>
      </c>
      <c r="U104" s="65">
        <f t="shared" si="11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9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10"/>
        <v>323262</v>
      </c>
      <c r="T105" s="65">
        <v>1079593.5999999999</v>
      </c>
      <c r="U105" s="65">
        <f t="shared" si="11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9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10"/>
        <v>349744.49999999994</v>
      </c>
      <c r="T106" s="65">
        <v>1105144.2666666664</v>
      </c>
      <c r="U106" s="65">
        <f t="shared" si="11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9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10"/>
        <v>354477.20000000007</v>
      </c>
      <c r="T107" s="65">
        <v>1104586.5333333334</v>
      </c>
      <c r="U107" s="65">
        <f t="shared" si="11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9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10"/>
        <v>364068.9</v>
      </c>
      <c r="T108" s="65">
        <v>1122380.2999999998</v>
      </c>
      <c r="U108" s="65">
        <f t="shared" si="11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9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10"/>
        <v>382330.4</v>
      </c>
      <c r="T109" s="65">
        <v>1124321</v>
      </c>
      <c r="U109" s="65">
        <f t="shared" si="11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9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10"/>
        <v>367434.20000000007</v>
      </c>
      <c r="T110" s="65">
        <v>1133928.8</v>
      </c>
      <c r="U110" s="65">
        <f t="shared" si="11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9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10"/>
        <v>389700.6</v>
      </c>
      <c r="T111" s="65">
        <v>1136853.5</v>
      </c>
      <c r="U111" s="65">
        <f t="shared" si="11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9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10"/>
        <v>377511.2</v>
      </c>
      <c r="T112" s="65">
        <v>1142474.4666666666</v>
      </c>
      <c r="U112" s="65">
        <f t="shared" si="11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9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10"/>
        <v>402065.99999999994</v>
      </c>
      <c r="T113" s="65">
        <v>1162715.7888888887</v>
      </c>
      <c r="U113" s="65">
        <f t="shared" si="11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9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10"/>
        <v>419224.00000000006</v>
      </c>
      <c r="T114" s="65">
        <v>1187101.8</v>
      </c>
      <c r="U114" s="65">
        <f t="shared" si="11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12" ref="I115:I176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10"/>
        <v>483107.4</v>
      </c>
      <c r="T115" s="65">
        <v>1226183.0666666667</v>
      </c>
      <c r="U115" s="65">
        <f t="shared" si="11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12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10"/>
        <v>459433.80000000005</v>
      </c>
      <c r="T116" s="65">
        <v>1253536.8333333333</v>
      </c>
      <c r="U116" s="65">
        <f t="shared" si="11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12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10"/>
        <v>486327.8</v>
      </c>
      <c r="T117" s="65">
        <v>1299479.7</v>
      </c>
      <c r="U117" s="65">
        <f t="shared" si="11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12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10"/>
        <v>482272.8</v>
      </c>
      <c r="T118" s="65">
        <v>1334499.8</v>
      </c>
      <c r="U118" s="65">
        <f t="shared" si="11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12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10"/>
        <v>491780.39999999985</v>
      </c>
      <c r="T119" s="65">
        <v>1372733.4999999998</v>
      </c>
      <c r="U119" s="65">
        <f t="shared" si="11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12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10"/>
        <v>467625.5000000002</v>
      </c>
      <c r="T120" s="65">
        <v>1417053.1</v>
      </c>
      <c r="U120" s="65">
        <f t="shared" si="11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12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10"/>
        <v>467852.7</v>
      </c>
      <c r="T121" s="65">
        <v>1420411.4166666667</v>
      </c>
      <c r="U121" s="65">
        <f t="shared" si="11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12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10"/>
        <v>507304.99999999994</v>
      </c>
      <c r="T122" s="65">
        <v>1436509.0333333332</v>
      </c>
      <c r="U122" s="65">
        <f t="shared" si="11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12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10"/>
        <v>523365.79999999993</v>
      </c>
      <c r="T123" s="65">
        <v>1428077.7500000002</v>
      </c>
      <c r="U123" s="65">
        <f t="shared" si="11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12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10"/>
        <v>514519.89999999997</v>
      </c>
      <c r="T124" s="65">
        <v>1448987.7999999998</v>
      </c>
      <c r="U124" s="65">
        <f t="shared" si="11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12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10"/>
        <v>516389.80000000005</v>
      </c>
      <c r="T125" s="65">
        <v>1465561.4500000002</v>
      </c>
      <c r="U125" s="65">
        <f t="shared" si="11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12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10"/>
        <v>580870.9</v>
      </c>
      <c r="T126" s="65">
        <v>1499512.9000000001</v>
      </c>
      <c r="U126" s="65">
        <f t="shared" si="11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12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10"/>
        <v>560392.5000000001</v>
      </c>
      <c r="T127" s="65">
        <v>1518403.9</v>
      </c>
      <c r="U127" s="65">
        <f t="shared" si="11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12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10"/>
        <v>544979.7</v>
      </c>
      <c r="T128" s="65">
        <v>1551244.4</v>
      </c>
      <c r="U128" s="65">
        <f t="shared" si="11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12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10"/>
        <v>518671.2</v>
      </c>
      <c r="T129" s="65">
        <v>1576438.5</v>
      </c>
      <c r="U129" s="65">
        <f t="shared" si="11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12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10"/>
        <v>562023.5</v>
      </c>
      <c r="T130" s="65">
        <v>1573210</v>
      </c>
      <c r="U130" s="65">
        <f t="shared" si="11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12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10"/>
        <v>538782.5999999999</v>
      </c>
      <c r="T131" s="65">
        <v>1587421.3000000005</v>
      </c>
      <c r="U131" s="65">
        <f t="shared" si="11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12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10"/>
        <v>548546.9</v>
      </c>
      <c r="T132" s="65">
        <v>1620461.3000000003</v>
      </c>
      <c r="U132" s="65">
        <f t="shared" si="11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12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10"/>
        <v>577438.7000000002</v>
      </c>
      <c r="T133" s="65">
        <v>1652078.5000000002</v>
      </c>
      <c r="U133" s="65">
        <f t="shared" si="11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12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10"/>
        <v>597356.4</v>
      </c>
      <c r="T134" s="65">
        <v>1696857.6</v>
      </c>
      <c r="U134" s="65">
        <f t="shared" si="11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12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aca="true" t="shared" si="13" ref="S135:S178">SUM(J135:R135)</f>
        <v>551715.3</v>
      </c>
      <c r="T135" s="65">
        <v>1688923.0999999999</v>
      </c>
      <c r="U135" s="65">
        <f aca="true" t="shared" si="14" ref="U135:U149">T135/I135</f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12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13"/>
        <v>569708.6999999998</v>
      </c>
      <c r="T136" s="65">
        <v>1738754.2999999998</v>
      </c>
      <c r="U136" s="65">
        <f t="shared" si="14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12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13"/>
        <v>535198.2999999999</v>
      </c>
      <c r="T137" s="65">
        <v>1756673.7</v>
      </c>
      <c r="U137" s="65">
        <f t="shared" si="14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12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13"/>
        <v>564828.8</v>
      </c>
      <c r="T138" s="65">
        <v>1797468.9000000001</v>
      </c>
      <c r="U138" s="65">
        <f t="shared" si="14"/>
        <v>3.182325157640687</v>
      </c>
    </row>
    <row r="139" spans="1:21" s="62" customFormat="1" ht="15.75">
      <c r="A139" s="64">
        <v>43466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12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13"/>
        <v>518679.5000000001</v>
      </c>
      <c r="T139" s="65">
        <v>1832440.933333333</v>
      </c>
      <c r="U139" s="65">
        <f t="shared" si="14"/>
        <v>3.5328963904170747</v>
      </c>
    </row>
    <row r="140" spans="1:21" s="62" customFormat="1" ht="15.75">
      <c r="A140" s="64">
        <v>43524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12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13"/>
        <v>586037.1000000001</v>
      </c>
      <c r="T140" s="65">
        <v>1852634.4666666663</v>
      </c>
      <c r="U140" s="65">
        <f t="shared" si="14"/>
        <v>3.1612921206979334</v>
      </c>
    </row>
    <row r="141" spans="1:21" s="62" customFormat="1" ht="15.75">
      <c r="A141" s="64">
        <v>43555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12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13"/>
        <v>606977.6000000001</v>
      </c>
      <c r="T141" s="65">
        <v>1885235.1999999997</v>
      </c>
      <c r="U141" s="65">
        <f t="shared" si="14"/>
        <v>3.105938670553905</v>
      </c>
    </row>
    <row r="142" spans="1:21" s="62" customFormat="1" ht="15.75">
      <c r="A142" s="64">
        <v>43585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12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13"/>
        <v>595763.0000000001</v>
      </c>
      <c r="T142" s="65">
        <v>1901027.7666666668</v>
      </c>
      <c r="U142" s="65">
        <f t="shared" si="14"/>
        <v>3.190912773479835</v>
      </c>
    </row>
    <row r="143" spans="1:21" s="62" customFormat="1" ht="15.75">
      <c r="A143" s="64">
        <v>43616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12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13"/>
        <v>594139.2000000001</v>
      </c>
      <c r="T143" s="65">
        <v>1954704.6333333338</v>
      </c>
      <c r="U143" s="65">
        <f t="shared" si="14"/>
        <v>3.2899775563257463</v>
      </c>
    </row>
    <row r="144" spans="1:21" s="62" customFormat="1" ht="15.75">
      <c r="A144" s="64">
        <v>43646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12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13"/>
        <v>657960.5000000001</v>
      </c>
      <c r="T144" s="65">
        <v>2029488.7000000002</v>
      </c>
      <c r="U144" s="65">
        <f t="shared" si="14"/>
        <v>3.084514495930987</v>
      </c>
    </row>
    <row r="145" spans="1:21" s="62" customFormat="1" ht="15.75">
      <c r="A145" s="64">
        <v>43677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12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13"/>
        <v>640774.1000000001</v>
      </c>
      <c r="T145" s="65">
        <v>2042048.3333333335</v>
      </c>
      <c r="U145" s="65">
        <f t="shared" si="14"/>
        <v>3.186845931090744</v>
      </c>
    </row>
    <row r="146" spans="1:21" s="62" customFormat="1" ht="15.75">
      <c r="A146" s="64">
        <v>43708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12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13"/>
        <v>624568.8</v>
      </c>
      <c r="T146" s="65">
        <v>2075832.066666667</v>
      </c>
      <c r="U146" s="65">
        <f t="shared" si="14"/>
        <v>3.323624341572405</v>
      </c>
    </row>
    <row r="147" spans="1:21" s="62" customFormat="1" ht="15.75">
      <c r="A147" s="64">
        <v>43738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12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13"/>
        <v>644436.4</v>
      </c>
      <c r="T147" s="65">
        <v>2074809.1</v>
      </c>
      <c r="U147" s="65">
        <f t="shared" si="14"/>
        <v>3.2195715512035012</v>
      </c>
    </row>
    <row r="148" spans="1:21" s="62" customFormat="1" ht="15.75">
      <c r="A148" s="64">
        <v>43769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12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13"/>
        <v>613077.1</v>
      </c>
      <c r="T148" s="65">
        <v>2078463.4000000001</v>
      </c>
      <c r="U148" s="65">
        <f t="shared" si="14"/>
        <v>3.3902153579052294</v>
      </c>
    </row>
    <row r="149" spans="1:21" s="62" customFormat="1" ht="15.75">
      <c r="A149" s="64">
        <v>43799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12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13"/>
        <v>631858</v>
      </c>
      <c r="T149" s="65">
        <v>2110526.8</v>
      </c>
      <c r="U149" s="65">
        <f t="shared" si="14"/>
        <v>3.34019162533354</v>
      </c>
    </row>
    <row r="150" spans="1:21" s="62" customFormat="1" ht="15.75">
      <c r="A150" s="64">
        <v>43830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12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13"/>
        <v>698151.6</v>
      </c>
      <c r="T150" s="65">
        <v>2202818.5999999996</v>
      </c>
      <c r="U150" s="65">
        <f>T150/I150</f>
        <v>3.1552152856199136</v>
      </c>
    </row>
    <row r="151" spans="1:21" s="62" customFormat="1" ht="15.75">
      <c r="A151" s="64">
        <v>43861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12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195369.4+157.9+887.8-5935-57649.5-2547.2-127243.6+59042.6</f>
        <v>62082.39999999997</v>
      </c>
      <c r="S151" s="65">
        <f t="shared" si="13"/>
        <v>665322.4</v>
      </c>
      <c r="T151" s="65">
        <v>2196629.466666667</v>
      </c>
      <c r="U151" s="65">
        <f aca="true" t="shared" si="15" ref="U151:U176">T151/I151</f>
        <v>3.301601549364138</v>
      </c>
    </row>
    <row r="152" spans="1:21" s="62" customFormat="1" ht="15.75">
      <c r="A152" s="64">
        <v>43890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12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207489.5+157.9+887.8-5935-58145.6-2403.6-128297+55775.1</f>
        <v>69529.09999999998</v>
      </c>
      <c r="S152" s="65">
        <f t="shared" si="13"/>
        <v>716624.1</v>
      </c>
      <c r="T152" s="65">
        <v>2231473.7333333334</v>
      </c>
      <c r="U152" s="65">
        <f t="shared" si="15"/>
        <v>3.113869228418823</v>
      </c>
    </row>
    <row r="153" spans="1:21" s="62" customFormat="1" ht="15.75">
      <c r="A153" s="64">
        <v>43921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12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215607.8+157.9+887.8-5935-58131.8-2423-128005.9+53412.7</f>
        <v>75570.49999999996</v>
      </c>
      <c r="S153" s="65">
        <f t="shared" si="13"/>
        <v>643970.4000000001</v>
      </c>
      <c r="T153" s="65">
        <v>2212757</v>
      </c>
      <c r="U153" s="65">
        <f t="shared" si="15"/>
        <v>3.436116007816508</v>
      </c>
    </row>
    <row r="154" spans="1:21" s="62" customFormat="1" ht="15.75">
      <c r="A154" s="64">
        <v>43951</v>
      </c>
      <c r="B154" s="65">
        <v>393636.4</v>
      </c>
      <c r="C154" s="65">
        <v>211293</v>
      </c>
      <c r="D154" s="65">
        <v>15286.699999999999</v>
      </c>
      <c r="E154" s="65">
        <v>3950</v>
      </c>
      <c r="F154" s="65">
        <v>8920.5</v>
      </c>
      <c r="G154" s="65">
        <v>8.4</v>
      </c>
      <c r="H154" s="67">
        <f>2199.6+36939.3</f>
        <v>39138.9</v>
      </c>
      <c r="I154" s="65">
        <f t="shared" si="12"/>
        <v>672233.9</v>
      </c>
      <c r="J154" s="73">
        <f>176635.8+5935-361783</f>
        <v>-179212.2</v>
      </c>
      <c r="K154" s="65">
        <f>736069.6-433857.9</f>
        <v>302211.69999999995</v>
      </c>
      <c r="L154" s="69">
        <v>432986.3</v>
      </c>
      <c r="M154" s="69">
        <v>0</v>
      </c>
      <c r="N154" s="65">
        <v>20</v>
      </c>
      <c r="O154" s="70"/>
      <c r="P154" s="65">
        <v>25898.7</v>
      </c>
      <c r="Q154" s="69" t="s">
        <v>4</v>
      </c>
      <c r="R154" s="72">
        <f>225055.7+157.9+887.8-5935-53990.1-2378.5-126835.3+53366.9</f>
        <v>90329.4</v>
      </c>
      <c r="S154" s="65">
        <f t="shared" si="13"/>
        <v>672233.8999999999</v>
      </c>
      <c r="T154" s="65">
        <v>2256936.566666667</v>
      </c>
      <c r="U154" s="65">
        <f t="shared" si="15"/>
        <v>3.357367973657185</v>
      </c>
    </row>
    <row r="155" spans="1:21" s="62" customFormat="1" ht="15.75">
      <c r="A155" s="64">
        <v>43982</v>
      </c>
      <c r="B155" s="65">
        <v>406383</v>
      </c>
      <c r="C155" s="65">
        <v>210075</v>
      </c>
      <c r="D155" s="65">
        <v>5623.6</v>
      </c>
      <c r="E155" s="65">
        <v>4591.1</v>
      </c>
      <c r="F155" s="65">
        <v>10872.8</v>
      </c>
      <c r="G155" s="65">
        <v>8.4</v>
      </c>
      <c r="H155" s="67">
        <f>2496+33849.3</f>
        <v>36345.3</v>
      </c>
      <c r="I155" s="65">
        <f t="shared" si="12"/>
        <v>673899.2</v>
      </c>
      <c r="J155" s="73">
        <f>167276.7+4763.1-357937.1</f>
        <v>-185897.29999999996</v>
      </c>
      <c r="K155" s="65">
        <f>737921.8-445475.5</f>
        <v>292446.30000000005</v>
      </c>
      <c r="L155" s="69">
        <v>435106.2</v>
      </c>
      <c r="M155" s="69">
        <v>0</v>
      </c>
      <c r="N155" s="65">
        <v>20</v>
      </c>
      <c r="O155" s="70"/>
      <c r="P155" s="65">
        <v>26145.3</v>
      </c>
      <c r="Q155" s="69" t="s">
        <v>4</v>
      </c>
      <c r="R155" s="72">
        <f>237158.4+157.9+887.8-4763.1-50618.3-2513.2-127514.8+53284</f>
        <v>106078.69999999994</v>
      </c>
      <c r="S155" s="65">
        <f t="shared" si="13"/>
        <v>673899.2000000001</v>
      </c>
      <c r="T155" s="65">
        <v>2266854.8333333335</v>
      </c>
      <c r="U155" s="65">
        <f t="shared" si="15"/>
        <v>3.3637891740090113</v>
      </c>
    </row>
    <row r="156" spans="1:21" s="62" customFormat="1" ht="15.75">
      <c r="A156" s="64">
        <v>44012</v>
      </c>
      <c r="B156" s="65">
        <v>434272.9</v>
      </c>
      <c r="C156" s="65">
        <v>203225.4</v>
      </c>
      <c r="D156" s="65">
        <v>10577.3</v>
      </c>
      <c r="E156" s="65">
        <v>3411.8</v>
      </c>
      <c r="F156" s="65">
        <v>9558.399999999998</v>
      </c>
      <c r="G156" s="65">
        <v>3.5</v>
      </c>
      <c r="H156" s="67">
        <f>3006.1+39875.7</f>
        <v>42881.799999999996</v>
      </c>
      <c r="I156" s="65">
        <f t="shared" si="12"/>
        <v>703931.1000000001</v>
      </c>
      <c r="J156" s="73">
        <f>167975.9+4763.1-357357.6</f>
        <v>-184618.59999999998</v>
      </c>
      <c r="K156" s="65">
        <f>736222.2-432881.7</f>
        <v>303340.49999999994</v>
      </c>
      <c r="L156" s="69">
        <v>421436.2</v>
      </c>
      <c r="M156" s="69">
        <v>0</v>
      </c>
      <c r="N156" s="65">
        <v>20</v>
      </c>
      <c r="O156" s="70"/>
      <c r="P156" s="65">
        <v>26117.6</v>
      </c>
      <c r="Q156" s="69" t="s">
        <v>4</v>
      </c>
      <c r="R156" s="72">
        <f>281819.7+157.9+887.8-4763.1-55808.9-2715.5-130627.9+48685.4</f>
        <v>137635.40000000005</v>
      </c>
      <c r="S156" s="65">
        <f t="shared" si="13"/>
        <v>703931.1</v>
      </c>
      <c r="T156" s="65">
        <v>2401552.5</v>
      </c>
      <c r="U156" s="65">
        <f t="shared" si="15"/>
        <v>3.4116300586804584</v>
      </c>
    </row>
    <row r="157" spans="1:21" s="62" customFormat="1" ht="15.75">
      <c r="A157" s="64">
        <v>44043</v>
      </c>
      <c r="B157" s="65">
        <v>448052.1</v>
      </c>
      <c r="C157" s="65">
        <v>153064.7</v>
      </c>
      <c r="D157" s="65">
        <v>17158.5</v>
      </c>
      <c r="E157" s="65">
        <v>3460.5999999999995</v>
      </c>
      <c r="F157" s="65">
        <v>9372.899999999998</v>
      </c>
      <c r="G157" s="65">
        <v>2</v>
      </c>
      <c r="H157" s="67">
        <f>3356.2+45288</f>
        <v>48644.2</v>
      </c>
      <c r="I157" s="65">
        <f t="shared" si="12"/>
        <v>679755</v>
      </c>
      <c r="J157" s="73">
        <f>196289.2+4763.1-350960.9</f>
        <v>-149908.6</v>
      </c>
      <c r="K157" s="65">
        <f>737624.5-468381.4</f>
        <v>269243.1</v>
      </c>
      <c r="L157" s="69">
        <v>410156.2</v>
      </c>
      <c r="M157" s="69">
        <v>0</v>
      </c>
      <c r="N157" s="65">
        <v>20</v>
      </c>
      <c r="O157" s="70"/>
      <c r="P157" s="65">
        <v>26638.600000000002</v>
      </c>
      <c r="Q157" s="69" t="s">
        <v>4</v>
      </c>
      <c r="R157" s="72">
        <f>278348.4+157.9+887.8-4763.1-56940-2494.3-143632.8+52041.8</f>
        <v>123605.70000000008</v>
      </c>
      <c r="S157" s="65">
        <f t="shared" si="13"/>
        <v>679755</v>
      </c>
      <c r="T157" s="65">
        <v>2446474.933333333</v>
      </c>
      <c r="U157" s="65">
        <f t="shared" si="15"/>
        <v>3.5990539728774826</v>
      </c>
    </row>
    <row r="158" spans="1:21" s="62" customFormat="1" ht="15.75">
      <c r="A158" s="64">
        <v>44074</v>
      </c>
      <c r="B158" s="65">
        <v>463338.8</v>
      </c>
      <c r="C158" s="65">
        <v>161198.9</v>
      </c>
      <c r="D158" s="65">
        <v>17278.899999999998</v>
      </c>
      <c r="E158" s="65">
        <v>3217.3</v>
      </c>
      <c r="F158" s="65">
        <v>12359.3</v>
      </c>
      <c r="G158" s="65">
        <v>2.6</v>
      </c>
      <c r="H158" s="67">
        <f>4745.9+39969.8</f>
        <v>44715.700000000004</v>
      </c>
      <c r="I158" s="65">
        <f t="shared" si="12"/>
        <v>702111.5</v>
      </c>
      <c r="J158" s="73">
        <f>209302+4763.1-352162.6</f>
        <v>-138097.49999999997</v>
      </c>
      <c r="K158" s="65">
        <f>751455.5-537266.2</f>
        <v>214189.30000000005</v>
      </c>
      <c r="L158" s="69">
        <f>457570+4000</f>
        <v>461570</v>
      </c>
      <c r="M158" s="69">
        <v>0</v>
      </c>
      <c r="N158" s="65">
        <v>20</v>
      </c>
      <c r="O158" s="70"/>
      <c r="P158" s="65">
        <v>26765</v>
      </c>
      <c r="Q158" s="69" t="s">
        <v>4</v>
      </c>
      <c r="R158" s="72">
        <f>260719.6+157.9+887.8-4763.1-60606-2839.8-144141.9+88250.2</f>
        <v>137664.7</v>
      </c>
      <c r="S158" s="65">
        <f t="shared" si="13"/>
        <v>702111.5</v>
      </c>
      <c r="T158" s="65">
        <v>2498725.366666666</v>
      </c>
      <c r="U158" s="65">
        <f t="shared" si="15"/>
        <v>3.5588725817290645</v>
      </c>
    </row>
    <row r="159" spans="1:21" s="62" customFormat="1" ht="15.75">
      <c r="A159" s="64">
        <v>44104</v>
      </c>
      <c r="B159" s="65">
        <v>454635.1</v>
      </c>
      <c r="C159" s="65">
        <v>225925.4</v>
      </c>
      <c r="D159" s="65">
        <v>17859.6</v>
      </c>
      <c r="E159" s="65">
        <v>5187.4</v>
      </c>
      <c r="F159" s="65">
        <v>16733</v>
      </c>
      <c r="G159" s="65">
        <v>3</v>
      </c>
      <c r="H159" s="67">
        <f>3919.9+41267.2</f>
        <v>45187.1</v>
      </c>
      <c r="I159" s="65">
        <f t="shared" si="12"/>
        <v>765530.6</v>
      </c>
      <c r="J159" s="73">
        <f>196602.9+4763.1-352390.2</f>
        <v>-151024.2</v>
      </c>
      <c r="K159" s="65">
        <f>901482.7-447533.4</f>
        <v>453949.29999999993</v>
      </c>
      <c r="L159" s="69">
        <f>360450+4000</f>
        <v>364450</v>
      </c>
      <c r="M159" s="69">
        <v>0</v>
      </c>
      <c r="N159" s="65">
        <v>20</v>
      </c>
      <c r="O159" s="70"/>
      <c r="P159" s="65">
        <v>27566.4</v>
      </c>
      <c r="Q159" s="69" t="s">
        <v>4</v>
      </c>
      <c r="R159" s="72">
        <f>200006.1+157.9+887.8-4763.1-65861.7-2821.3-143938.8+86902.2</f>
        <v>70569.09999999999</v>
      </c>
      <c r="S159" s="65">
        <f t="shared" si="13"/>
        <v>765530.5999999999</v>
      </c>
      <c r="T159" s="65">
        <v>2577494.4</v>
      </c>
      <c r="U159" s="65">
        <f t="shared" si="15"/>
        <v>3.3669384345968667</v>
      </c>
    </row>
    <row r="160" spans="1:21" s="62" customFormat="1" ht="15.75">
      <c r="A160" s="64">
        <v>44135</v>
      </c>
      <c r="B160" s="65">
        <v>451043.8</v>
      </c>
      <c r="C160" s="65">
        <v>177742.6</v>
      </c>
      <c r="D160" s="65">
        <v>16074.699999999999</v>
      </c>
      <c r="E160" s="65">
        <v>4021.3</v>
      </c>
      <c r="F160" s="65">
        <v>9405.599999999999</v>
      </c>
      <c r="G160" s="65">
        <v>3.5</v>
      </c>
      <c r="H160" s="67">
        <f>4827.9+39226.7</f>
        <v>44054.6</v>
      </c>
      <c r="I160" s="65">
        <f t="shared" si="12"/>
        <v>702346.1</v>
      </c>
      <c r="J160" s="73">
        <f>186130.2+4763.1-339086.5</f>
        <v>-148193.19999999998</v>
      </c>
      <c r="K160" s="65">
        <f>901974.9-486119.8</f>
        <v>415855.10000000003</v>
      </c>
      <c r="L160" s="69">
        <f>322527.1+4000</f>
        <v>326527.1</v>
      </c>
      <c r="M160" s="69">
        <v>0</v>
      </c>
      <c r="N160" s="65">
        <v>20</v>
      </c>
      <c r="O160" s="70"/>
      <c r="P160" s="65">
        <v>28345.300000000003</v>
      </c>
      <c r="Q160" s="69" t="s">
        <v>4</v>
      </c>
      <c r="R160" s="72">
        <f>215484.6+157.9+887.8-4763.1-61430.1-2972.9-154475.2+86902.8</f>
        <v>79791.79999999997</v>
      </c>
      <c r="S160" s="65">
        <f t="shared" si="13"/>
        <v>702346.1</v>
      </c>
      <c r="T160" s="65">
        <v>2582417.3333333335</v>
      </c>
      <c r="U160" s="65">
        <f t="shared" si="15"/>
        <v>3.6768444123678248</v>
      </c>
    </row>
    <row r="161" spans="1:21" s="62" customFormat="1" ht="15.75">
      <c r="A161" s="64">
        <v>44165</v>
      </c>
      <c r="B161" s="65">
        <v>458174</v>
      </c>
      <c r="C161" s="65">
        <v>188782.8</v>
      </c>
      <c r="D161" s="65">
        <v>8576.6</v>
      </c>
      <c r="E161" s="65">
        <v>2194.3</v>
      </c>
      <c r="F161" s="65">
        <v>10968.7</v>
      </c>
      <c r="G161" s="65">
        <v>4.2</v>
      </c>
      <c r="H161" s="67">
        <f>4342+43417.3</f>
        <v>47759.3</v>
      </c>
      <c r="I161" s="65">
        <f t="shared" si="12"/>
        <v>716459.8999999999</v>
      </c>
      <c r="J161" s="73">
        <f>197642.4+4763.1-341367.1</f>
        <v>-138961.59999999998</v>
      </c>
      <c r="K161" s="65">
        <f>899449.4-487480.1</f>
        <v>411969.30000000005</v>
      </c>
      <c r="L161" s="69">
        <f>318416+4000</f>
        <v>322416</v>
      </c>
      <c r="M161" s="69">
        <v>0</v>
      </c>
      <c r="N161" s="65">
        <v>20</v>
      </c>
      <c r="O161" s="70"/>
      <c r="P161" s="65">
        <v>28666</v>
      </c>
      <c r="Q161" s="69" t="s">
        <v>4</v>
      </c>
      <c r="R161" s="72">
        <f>225733.8+157.9+887.8-4763.1-58995.2-2658.9-155118.5+87106.4</f>
        <v>92350.19999999995</v>
      </c>
      <c r="S161" s="65">
        <f t="shared" si="13"/>
        <v>716459.9</v>
      </c>
      <c r="T161" s="65">
        <v>2660602.366666666</v>
      </c>
      <c r="U161" s="65">
        <f t="shared" si="15"/>
        <v>3.7135398180228463</v>
      </c>
    </row>
    <row r="162" spans="1:21" s="62" customFormat="1" ht="15.75">
      <c r="A162" s="64">
        <v>44196</v>
      </c>
      <c r="B162" s="65">
        <v>503703.5</v>
      </c>
      <c r="C162" s="65">
        <v>216248.8</v>
      </c>
      <c r="D162" s="65">
        <v>9345.300000000001</v>
      </c>
      <c r="E162" s="65">
        <v>4005.2</v>
      </c>
      <c r="F162" s="65">
        <v>5956.7</v>
      </c>
      <c r="G162" s="65">
        <v>4.7</v>
      </c>
      <c r="H162" s="67">
        <f>5393.2+34319.3</f>
        <v>39712.5</v>
      </c>
      <c r="I162" s="65">
        <f t="shared" si="12"/>
        <v>778976.7</v>
      </c>
      <c r="J162" s="73">
        <f>246109.6+4763.1-343978</f>
        <v>-93105.29999999999</v>
      </c>
      <c r="K162" s="65">
        <f>894667.8-456634.2</f>
        <v>438033.60000000003</v>
      </c>
      <c r="L162" s="69">
        <f>298901.2+4000</f>
        <v>302901.2</v>
      </c>
      <c r="M162" s="69">
        <v>0</v>
      </c>
      <c r="N162" s="65">
        <v>20</v>
      </c>
      <c r="O162" s="70"/>
      <c r="P162" s="65">
        <v>28597.200000000004</v>
      </c>
      <c r="Q162" s="69" t="s">
        <v>4</v>
      </c>
      <c r="R162" s="72">
        <f>213092.6+157.9+887.8-4763.1-63218.3-2905.1-100594.8+59873</f>
        <v>102529.99999999996</v>
      </c>
      <c r="S162" s="65">
        <f t="shared" si="13"/>
        <v>778976.7</v>
      </c>
      <c r="T162" s="65">
        <v>2733847</v>
      </c>
      <c r="U162" s="65">
        <f t="shared" si="15"/>
        <v>3.5095362929340506</v>
      </c>
    </row>
    <row r="163" spans="1:21" s="62" customFormat="1" ht="15.75">
      <c r="A163" s="64">
        <v>44227</v>
      </c>
      <c r="B163" s="65">
        <v>477149.7</v>
      </c>
      <c r="C163" s="65">
        <v>180878</v>
      </c>
      <c r="D163" s="65">
        <v>18457.899999999998</v>
      </c>
      <c r="E163" s="65">
        <v>4079.9</v>
      </c>
      <c r="F163" s="65">
        <v>14884.8</v>
      </c>
      <c r="G163" s="65">
        <v>11.2</v>
      </c>
      <c r="H163" s="67">
        <f>2384.1+42309</f>
        <v>44693.1</v>
      </c>
      <c r="I163" s="65">
        <f t="shared" si="12"/>
        <v>740154.6</v>
      </c>
      <c r="J163" s="73">
        <f>228871.5+4763.1-334404.2</f>
        <v>-100769.6</v>
      </c>
      <c r="K163" s="65">
        <f>894667.8-494050.9</f>
        <v>400616.9</v>
      </c>
      <c r="L163" s="69">
        <f>297210.8+4000</f>
        <v>301210.8</v>
      </c>
      <c r="M163" s="69">
        <v>0</v>
      </c>
      <c r="N163" s="65">
        <v>20</v>
      </c>
      <c r="O163" s="70"/>
      <c r="P163" s="65">
        <v>28149.7</v>
      </c>
      <c r="Q163" s="69" t="s">
        <v>4</v>
      </c>
      <c r="R163" s="72">
        <f>217801.6+157.9+887.8-4763.1-64791.4-2691.2-99065+63390.2</f>
        <v>110926.79999999997</v>
      </c>
      <c r="S163" s="65">
        <f t="shared" si="13"/>
        <v>740154.6</v>
      </c>
      <c r="T163" s="65">
        <v>2771764.1333333333</v>
      </c>
      <c r="U163" s="65">
        <f t="shared" si="15"/>
        <v>3.7448448382720763</v>
      </c>
    </row>
    <row r="164" spans="1:21" s="62" customFormat="1" ht="15.75">
      <c r="A164" s="64">
        <v>44255</v>
      </c>
      <c r="B164" s="65">
        <v>473083.2</v>
      </c>
      <c r="C164" s="65">
        <v>147037.3</v>
      </c>
      <c r="D164" s="65">
        <v>21243.1</v>
      </c>
      <c r="E164" s="65">
        <v>3496.3</v>
      </c>
      <c r="F164" s="65">
        <v>12344.5</v>
      </c>
      <c r="G164" s="65">
        <v>13.6</v>
      </c>
      <c r="H164" s="67">
        <f>2385+42996.2</f>
        <v>45381.2</v>
      </c>
      <c r="I164" s="65">
        <f t="shared" si="12"/>
        <v>702599.2</v>
      </c>
      <c r="J164" s="73">
        <f>236832.2+4763.1-336447.3</f>
        <v>-94851.99999999997</v>
      </c>
      <c r="K164" s="65">
        <f>894117.9-534347.7</f>
        <v>359770.20000000007</v>
      </c>
      <c r="L164" s="69">
        <f>292256+4000</f>
        <v>296256</v>
      </c>
      <c r="M164" s="69">
        <v>0</v>
      </c>
      <c r="N164" s="65">
        <v>20</v>
      </c>
      <c r="O164" s="70"/>
      <c r="P164" s="65">
        <v>28190.100000000002</v>
      </c>
      <c r="Q164" s="69" t="s">
        <v>4</v>
      </c>
      <c r="R164" s="72">
        <f>238159.8+157.9+887.8-4763.1-66010.3-2657.9-100755.4+48196.1</f>
        <v>113214.9</v>
      </c>
      <c r="S164" s="65">
        <f t="shared" si="13"/>
        <v>702599.2000000001</v>
      </c>
      <c r="T164" s="65">
        <v>2812776.1666666665</v>
      </c>
      <c r="U164" s="65">
        <f t="shared" si="15"/>
        <v>4.003386520603306</v>
      </c>
    </row>
    <row r="165" spans="1:21" s="62" customFormat="1" ht="15.75">
      <c r="A165" s="64">
        <v>44286</v>
      </c>
      <c r="B165" s="65">
        <v>474986</v>
      </c>
      <c r="C165" s="65">
        <v>137912.3</v>
      </c>
      <c r="D165" s="65">
        <v>22891.199999999997</v>
      </c>
      <c r="E165" s="65">
        <v>5859.7</v>
      </c>
      <c r="F165" s="65">
        <v>13232.5</v>
      </c>
      <c r="G165" s="65">
        <v>48.9</v>
      </c>
      <c r="H165" s="67">
        <f>3691.4+36766.5</f>
        <v>40457.9</v>
      </c>
      <c r="I165" s="65">
        <f t="shared" si="12"/>
        <v>695388.5</v>
      </c>
      <c r="J165" s="73">
        <f>207974.9+4763.1-331861.9</f>
        <v>-119123.90000000002</v>
      </c>
      <c r="K165" s="65">
        <f>864066.4-491422.1</f>
        <v>372644.30000000005</v>
      </c>
      <c r="L165" s="69">
        <f>295757+4000</f>
        <v>299757</v>
      </c>
      <c r="M165" s="69">
        <v>0</v>
      </c>
      <c r="N165" s="65">
        <v>20</v>
      </c>
      <c r="O165" s="70"/>
      <c r="P165" s="65">
        <v>28260.000000000004</v>
      </c>
      <c r="Q165" s="69" t="s">
        <v>4</v>
      </c>
      <c r="R165" s="72">
        <f>239976.9+157.9+887.8-4763.1-64851.1-2777.8-99534.1+44734.6</f>
        <v>113831.09999999998</v>
      </c>
      <c r="S165" s="65">
        <f t="shared" si="13"/>
        <v>695388.5</v>
      </c>
      <c r="T165" s="65">
        <v>2839690.1999999993</v>
      </c>
      <c r="U165" s="65">
        <f t="shared" si="15"/>
        <v>4.083602475450772</v>
      </c>
    </row>
    <row r="166" spans="1:21" s="62" customFormat="1" ht="15.75">
      <c r="A166" s="64">
        <v>44316</v>
      </c>
      <c r="B166" s="65">
        <v>482911.4</v>
      </c>
      <c r="C166" s="65">
        <v>199403.59999999998</v>
      </c>
      <c r="D166" s="65">
        <v>19555.5</v>
      </c>
      <c r="E166" s="65">
        <v>4448.4</v>
      </c>
      <c r="F166" s="65">
        <v>7223.4</v>
      </c>
      <c r="G166" s="65">
        <v>49.9</v>
      </c>
      <c r="H166" s="67">
        <f>3211.6+33738.7</f>
        <v>36950.299999999996</v>
      </c>
      <c r="I166" s="65">
        <f t="shared" si="12"/>
        <v>750542.5</v>
      </c>
      <c r="J166" s="73">
        <f>206549.3+3973.9-315749.3</f>
        <v>-105226.1</v>
      </c>
      <c r="K166" s="65">
        <f>893573.6-510078.6</f>
        <v>383495</v>
      </c>
      <c r="L166" s="69">
        <f>331560.7+4000</f>
        <v>335560.7</v>
      </c>
      <c r="M166" s="69">
        <v>0</v>
      </c>
      <c r="N166" s="65">
        <v>20</v>
      </c>
      <c r="O166" s="70"/>
      <c r="P166" s="65">
        <v>28919.500000000004</v>
      </c>
      <c r="Q166" s="69" t="s">
        <v>4</v>
      </c>
      <c r="R166" s="72">
        <f>241153.6+157.9+887.8-3973.9-59833.2-2546.8-125866.9+57794.9</f>
        <v>107773.40000000002</v>
      </c>
      <c r="S166" s="65">
        <f t="shared" si="13"/>
        <v>750542.5000000001</v>
      </c>
      <c r="T166" s="65">
        <v>2835804.8999999994</v>
      </c>
      <c r="U166" s="65">
        <f t="shared" si="15"/>
        <v>3.7783402005882403</v>
      </c>
    </row>
    <row r="167" spans="1:21" s="62" customFormat="1" ht="15.75">
      <c r="A167" s="64">
        <v>44347</v>
      </c>
      <c r="B167" s="65">
        <v>499454.8</v>
      </c>
      <c r="C167" s="65">
        <v>190557.90000000002</v>
      </c>
      <c r="D167" s="65">
        <v>30579.199999999997</v>
      </c>
      <c r="E167" s="65">
        <v>1279.7</v>
      </c>
      <c r="F167" s="65">
        <v>11349</v>
      </c>
      <c r="G167" s="65">
        <v>50.6</v>
      </c>
      <c r="H167" s="67">
        <f>2291.4+32017.1</f>
        <v>34308.5</v>
      </c>
      <c r="I167" s="65">
        <f t="shared" si="12"/>
        <v>767579.7</v>
      </c>
      <c r="J167" s="73">
        <f>190510.1+2395.8-316505.6</f>
        <v>-123599.69999999998</v>
      </c>
      <c r="K167" s="65">
        <f>893272-506789.3</f>
        <v>386482.7</v>
      </c>
      <c r="L167" s="69">
        <f>344510.5+4000</f>
        <v>348510.5</v>
      </c>
      <c r="M167" s="69">
        <v>0</v>
      </c>
      <c r="N167" s="65">
        <v>20</v>
      </c>
      <c r="O167" s="70"/>
      <c r="P167" s="65">
        <v>28794.9</v>
      </c>
      <c r="Q167" s="69" t="s">
        <v>4</v>
      </c>
      <c r="R167" s="72">
        <f>254379.4+157.9+887.8-2395.8-59255.3-2642-121462.9+57702.2</f>
        <v>127371.3</v>
      </c>
      <c r="S167" s="65">
        <f t="shared" si="13"/>
        <v>767579.7000000001</v>
      </c>
      <c r="T167" s="65">
        <v>2926490.5000000005</v>
      </c>
      <c r="U167" s="65">
        <f t="shared" si="15"/>
        <v>3.812621021634627</v>
      </c>
    </row>
    <row r="168" spans="1:21" s="62" customFormat="1" ht="15.75">
      <c r="A168" s="64">
        <v>44377</v>
      </c>
      <c r="B168" s="65">
        <v>536813.3</v>
      </c>
      <c r="C168" s="65">
        <v>203784.59999999998</v>
      </c>
      <c r="D168" s="65">
        <v>10404.800000000001</v>
      </c>
      <c r="E168" s="65">
        <v>3747.8</v>
      </c>
      <c r="F168" s="65">
        <v>12463.2</v>
      </c>
      <c r="G168" s="65">
        <v>59.9</v>
      </c>
      <c r="H168" s="67">
        <f>2709.3+37343.6</f>
        <v>40052.9</v>
      </c>
      <c r="I168" s="65">
        <f t="shared" si="12"/>
        <v>807326.5000000001</v>
      </c>
      <c r="J168" s="73">
        <f>189347.2+2395.7-306331.3</f>
        <v>-114588.39999999997</v>
      </c>
      <c r="K168" s="65">
        <f>957639.8-552989.6</f>
        <v>404650.20000000007</v>
      </c>
      <c r="L168" s="69">
        <f>319679.4+4000</f>
        <v>323679.4</v>
      </c>
      <c r="M168" s="69">
        <v>0</v>
      </c>
      <c r="N168" s="65">
        <v>20</v>
      </c>
      <c r="O168" s="70"/>
      <c r="P168" s="65">
        <v>28596.800000000003</v>
      </c>
      <c r="Q168" s="69" t="s">
        <v>4</v>
      </c>
      <c r="R168" s="72">
        <f>245784.3+157.9+887.8-2395.7-65638.1-2642.7-81337.2+70152.2</f>
        <v>164968.49999999994</v>
      </c>
      <c r="S168" s="65">
        <f t="shared" si="13"/>
        <v>807326.5000000002</v>
      </c>
      <c r="T168" s="65">
        <v>3094992.5300000003</v>
      </c>
      <c r="U168" s="65">
        <f t="shared" si="15"/>
        <v>3.833631783423435</v>
      </c>
    </row>
    <row r="169" spans="1:21" s="62" customFormat="1" ht="15.75">
      <c r="A169" s="64">
        <v>44378</v>
      </c>
      <c r="B169" s="65">
        <v>547807.2</v>
      </c>
      <c r="C169" s="65">
        <v>210043.5</v>
      </c>
      <c r="D169" s="65">
        <v>19916.899999999998</v>
      </c>
      <c r="E169" s="65">
        <v>1367.6</v>
      </c>
      <c r="F169" s="65">
        <v>13156.6</v>
      </c>
      <c r="G169" s="65">
        <v>33.2</v>
      </c>
      <c r="H169" s="67">
        <f>4130.5+36910.4</f>
        <v>41040.9</v>
      </c>
      <c r="I169" s="65">
        <f t="shared" si="12"/>
        <v>833365.8999999999</v>
      </c>
      <c r="J169" s="73">
        <f>166804.6+2395.8-306354.8</f>
        <v>-137154.4</v>
      </c>
      <c r="K169" s="65">
        <f>964779.1-547238</f>
        <v>417541.1</v>
      </c>
      <c r="L169" s="69">
        <f>312265.5+25375.9</f>
        <v>337641.4</v>
      </c>
      <c r="M169" s="69">
        <v>0</v>
      </c>
      <c r="N169" s="65">
        <v>20</v>
      </c>
      <c r="O169" s="70"/>
      <c r="P169" s="65">
        <v>28911.500000000004</v>
      </c>
      <c r="Q169" s="69" t="s">
        <v>4</v>
      </c>
      <c r="R169" s="72">
        <f>262063.8+157.9+887.8-2395.8-64846.5-2624.5-75553.1+68716.7</f>
        <v>186406.3</v>
      </c>
      <c r="S169" s="65">
        <f t="shared" si="13"/>
        <v>833365.8999999999</v>
      </c>
      <c r="T169" s="65">
        <v>3178620.6299999994</v>
      </c>
      <c r="U169" s="65">
        <f t="shared" si="15"/>
        <v>3.814195697232152</v>
      </c>
    </row>
    <row r="170" spans="1:21" s="62" customFormat="1" ht="15.75">
      <c r="A170" s="64">
        <v>44410</v>
      </c>
      <c r="B170" s="65">
        <v>559101.4</v>
      </c>
      <c r="C170" s="65">
        <v>206209</v>
      </c>
      <c r="D170" s="65">
        <v>24578.5</v>
      </c>
      <c r="E170" s="65">
        <v>2561.7</v>
      </c>
      <c r="F170" s="65">
        <v>13438</v>
      </c>
      <c r="G170" s="65">
        <v>14.3</v>
      </c>
      <c r="H170" s="67">
        <f>3414.4+35835.9</f>
        <v>39250.3</v>
      </c>
      <c r="I170" s="65">
        <f t="shared" si="12"/>
        <v>845153.2000000001</v>
      </c>
      <c r="J170" s="73">
        <f>576930.7+2395.8-719954.5</f>
        <v>-140628</v>
      </c>
      <c r="K170" s="65">
        <f>937750.1-574111.1</f>
        <v>363639</v>
      </c>
      <c r="L170" s="69">
        <f>364914.4+25375.9</f>
        <v>390290.30000000005</v>
      </c>
      <c r="M170" s="69">
        <v>0</v>
      </c>
      <c r="N170" s="65">
        <v>20</v>
      </c>
      <c r="O170" s="70"/>
      <c r="P170" s="65">
        <v>28944.4</v>
      </c>
      <c r="Q170" s="69" t="s">
        <v>4</v>
      </c>
      <c r="R170" s="72">
        <f>278466.9+157.9+887.8-2395.8-62211.2-2688.1-75639.4+66309.4</f>
        <v>202887.50000000003</v>
      </c>
      <c r="S170" s="65">
        <f t="shared" si="13"/>
        <v>845153.2000000001</v>
      </c>
      <c r="T170" s="65">
        <v>3248792.6</v>
      </c>
      <c r="U170" s="65">
        <f t="shared" si="15"/>
        <v>3.8440280413065935</v>
      </c>
    </row>
    <row r="171" spans="1:21" s="62" customFormat="1" ht="15.75">
      <c r="A171" s="64">
        <v>44442</v>
      </c>
      <c r="B171" s="65">
        <v>551949.2</v>
      </c>
      <c r="C171" s="65">
        <v>208470.7</v>
      </c>
      <c r="D171" s="65">
        <v>24343.3</v>
      </c>
      <c r="E171" s="65">
        <v>1656.8000000000002</v>
      </c>
      <c r="F171" s="65">
        <v>15452.1</v>
      </c>
      <c r="G171" s="65">
        <v>8.4</v>
      </c>
      <c r="H171" s="67">
        <f>2968.9+36138.1</f>
        <v>39107</v>
      </c>
      <c r="I171" s="65">
        <f t="shared" si="12"/>
        <v>840987.5000000001</v>
      </c>
      <c r="J171" s="73">
        <f>616721.2+2395.7-769655.5</f>
        <v>-150538.6000000001</v>
      </c>
      <c r="K171" s="65">
        <f>903396.7-579377.3</f>
        <v>324019.3999999999</v>
      </c>
      <c r="L171" s="69">
        <f>400478.4+25375.9</f>
        <v>425854.30000000005</v>
      </c>
      <c r="M171" s="69">
        <v>0</v>
      </c>
      <c r="N171" s="65">
        <v>20</v>
      </c>
      <c r="O171" s="70"/>
      <c r="P171" s="65">
        <v>28737.300000000003</v>
      </c>
      <c r="Q171" s="69" t="s">
        <v>4</v>
      </c>
      <c r="R171" s="72">
        <f>283135.9+157.9+887.8-2395.7-56628.3-2642.5-77652.2+68032.2</f>
        <v>212895.10000000003</v>
      </c>
      <c r="S171" s="65">
        <f t="shared" si="13"/>
        <v>840987.5</v>
      </c>
      <c r="T171" s="65">
        <v>3326752.6</v>
      </c>
      <c r="U171" s="65">
        <f t="shared" si="15"/>
        <v>3.9557693782606753</v>
      </c>
    </row>
    <row r="172" spans="1:21" s="62" customFormat="1" ht="15.75">
      <c r="A172" s="64">
        <v>44473</v>
      </c>
      <c r="B172" s="65">
        <v>534859.7</v>
      </c>
      <c r="C172" s="65">
        <v>223872.2</v>
      </c>
      <c r="D172" s="65">
        <v>19875</v>
      </c>
      <c r="E172" s="65">
        <v>1462.3000000000002</v>
      </c>
      <c r="F172" s="65">
        <v>12874</v>
      </c>
      <c r="G172" s="65">
        <v>5.9</v>
      </c>
      <c r="H172" s="67">
        <f>5664+42278.6</f>
        <v>47942.6</v>
      </c>
      <c r="I172" s="65">
        <f t="shared" si="12"/>
        <v>840891.7000000001</v>
      </c>
      <c r="J172" s="73">
        <f>776136.1+1223.8-772767.2</f>
        <v>4592.70000000007</v>
      </c>
      <c r="K172" s="65">
        <f>902793.7-749654.5</f>
        <v>153139.19999999995</v>
      </c>
      <c r="L172" s="69">
        <f>395668.5+25375.8</f>
        <v>421044.3</v>
      </c>
      <c r="M172" s="69">
        <v>0</v>
      </c>
      <c r="N172" s="65">
        <v>20</v>
      </c>
      <c r="O172" s="70"/>
      <c r="P172" s="65">
        <v>29129.4</v>
      </c>
      <c r="Q172" s="69" t="s">
        <v>4</v>
      </c>
      <c r="R172" s="72">
        <f>304140.1+157.9+887.8-1223.8-56167.7-2651.5-79133.2+66956.5</f>
        <v>232966.09999999998</v>
      </c>
      <c r="S172" s="65">
        <f t="shared" si="13"/>
        <v>840891.7</v>
      </c>
      <c r="T172" s="65">
        <v>3336442.5333333337</v>
      </c>
      <c r="U172" s="65">
        <f t="shared" si="15"/>
        <v>3.9677434482149527</v>
      </c>
    </row>
    <row r="173" spans="1:21" s="62" customFormat="1" ht="15.75">
      <c r="A173" s="64">
        <v>44505</v>
      </c>
      <c r="B173" s="65">
        <v>540558.6</v>
      </c>
      <c r="C173" s="65">
        <v>214005.90000000002</v>
      </c>
      <c r="D173" s="65">
        <v>23510.6</v>
      </c>
      <c r="E173" s="65">
        <v>1347.2</v>
      </c>
      <c r="F173" s="65">
        <v>12348.9</v>
      </c>
      <c r="G173" s="65">
        <v>12.6</v>
      </c>
      <c r="H173" s="67">
        <f>4321.2+42863.6</f>
        <v>47184.799999999996</v>
      </c>
      <c r="I173" s="65">
        <f t="shared" si="12"/>
        <v>838968.6</v>
      </c>
      <c r="J173" s="73">
        <f>686238.9+1223.8-765682.1</f>
        <v>-78219.3999999999</v>
      </c>
      <c r="K173" s="65">
        <f>923914.9-761198.7</f>
        <v>162716.20000000007</v>
      </c>
      <c r="L173" s="69">
        <f>468286.1+25375.8</f>
        <v>493661.89999999997</v>
      </c>
      <c r="M173" s="69">
        <v>0</v>
      </c>
      <c r="N173" s="65">
        <v>20</v>
      </c>
      <c r="O173" s="70"/>
      <c r="P173" s="65">
        <v>29607.100000000002</v>
      </c>
      <c r="Q173" s="69" t="s">
        <v>4</v>
      </c>
      <c r="R173" s="72">
        <f>312336.1+157.9+887.8-1223.8-61852.1-2688.2-77828.5+61393.6</f>
        <v>231182.8</v>
      </c>
      <c r="S173" s="65">
        <f t="shared" si="13"/>
        <v>838968.6000000001</v>
      </c>
      <c r="T173" s="65">
        <v>3296137.3666666667</v>
      </c>
      <c r="U173" s="65">
        <f t="shared" si="15"/>
        <v>3.9287970570849335</v>
      </c>
    </row>
    <row r="174" spans="1:21" s="62" customFormat="1" ht="15.75">
      <c r="A174" s="64">
        <v>44536</v>
      </c>
      <c r="B174" s="65">
        <v>567563.8</v>
      </c>
      <c r="C174" s="65">
        <v>156833.90000000002</v>
      </c>
      <c r="D174" s="65">
        <v>9985.4</v>
      </c>
      <c r="E174" s="65">
        <v>1729.1</v>
      </c>
      <c r="F174" s="65">
        <v>12685.6</v>
      </c>
      <c r="G174" s="65">
        <v>20.1</v>
      </c>
      <c r="H174" s="67">
        <f>4946.5+33875.1</f>
        <v>38821.6</v>
      </c>
      <c r="I174" s="65">
        <f t="shared" si="12"/>
        <v>787639.5</v>
      </c>
      <c r="J174" s="73">
        <f>592002.6+1223.8-734574.5</f>
        <v>-141348.09999999998</v>
      </c>
      <c r="K174" s="65">
        <f>901529.1-749283.4</f>
        <v>152245.69999999995</v>
      </c>
      <c r="L174" s="69">
        <f>505085.9+25375.8</f>
        <v>530461.7000000001</v>
      </c>
      <c r="M174" s="69">
        <v>0</v>
      </c>
      <c r="N174" s="65">
        <v>20</v>
      </c>
      <c r="O174" s="70"/>
      <c r="P174" s="65">
        <v>29929.7</v>
      </c>
      <c r="Q174" s="69" t="s">
        <v>4</v>
      </c>
      <c r="R174" s="72">
        <f>295752.6+157.9+887.8-1223.8-56884.4-2822-78582.8+59045.2</f>
        <v>216330.5</v>
      </c>
      <c r="S174" s="65">
        <f t="shared" si="13"/>
        <v>787639.5</v>
      </c>
      <c r="T174" s="65">
        <v>3293260.5999999996</v>
      </c>
      <c r="U174" s="65">
        <f t="shared" si="15"/>
        <v>4.181177556483645</v>
      </c>
    </row>
    <row r="175" spans="1:21" s="62" customFormat="1" ht="18">
      <c r="A175" s="64" t="s">
        <v>62</v>
      </c>
      <c r="B175" s="65">
        <v>539682.3</v>
      </c>
      <c r="C175" s="65">
        <v>355152</v>
      </c>
      <c r="D175" s="65">
        <v>13595.199999999999</v>
      </c>
      <c r="E175" s="65">
        <v>1289.6</v>
      </c>
      <c r="F175" s="65">
        <v>12681.3</v>
      </c>
      <c r="G175" s="65">
        <v>26.4</v>
      </c>
      <c r="H175" s="67">
        <f>5471.3+27258.8</f>
        <v>32730.1</v>
      </c>
      <c r="I175" s="65">
        <f t="shared" si="12"/>
        <v>955156.9</v>
      </c>
      <c r="J175" s="73">
        <f>606922.2+1223.8-725205.8</f>
        <v>-117059.80000000005</v>
      </c>
      <c r="K175" s="65">
        <f>1075694.8-766067.9</f>
        <v>309626.9</v>
      </c>
      <c r="L175" s="69">
        <f>482522.7+25375.8</f>
        <v>507898.5</v>
      </c>
      <c r="M175" s="69">
        <v>0</v>
      </c>
      <c r="N175" s="65">
        <v>20</v>
      </c>
      <c r="O175" s="70"/>
      <c r="P175" s="65">
        <v>30053.100000000002</v>
      </c>
      <c r="Q175" s="69" t="s">
        <v>4</v>
      </c>
      <c r="R175" s="72">
        <f>303010.4+128.8+887.8-1223.8-55379.4-2741.2-79218.4+59154</f>
        <v>224618.2</v>
      </c>
      <c r="S175" s="65">
        <f t="shared" si="13"/>
        <v>955156.8999999999</v>
      </c>
      <c r="T175" s="65">
        <v>3427161.9999999995</v>
      </c>
      <c r="U175" s="65">
        <f t="shared" si="15"/>
        <v>3.58806181476572</v>
      </c>
    </row>
    <row r="176" spans="1:21" s="62" customFormat="1" ht="18">
      <c r="A176" s="64" t="s">
        <v>63</v>
      </c>
      <c r="B176" s="65">
        <v>539682.3</v>
      </c>
      <c r="C176" s="65">
        <v>355152</v>
      </c>
      <c r="D176" s="65">
        <v>13595.199999999999</v>
      </c>
      <c r="E176" s="65">
        <v>1289.6</v>
      </c>
      <c r="F176" s="65">
        <v>12681.3</v>
      </c>
      <c r="G176" s="65">
        <v>26.4</v>
      </c>
      <c r="H176" s="67">
        <f>5471.3+27258.8</f>
        <v>32730.1</v>
      </c>
      <c r="I176" s="65">
        <f t="shared" si="12"/>
        <v>955156.9</v>
      </c>
      <c r="J176" s="73">
        <f>606922.2+1223.8-725205.8</f>
        <v>-117059.80000000005</v>
      </c>
      <c r="K176" s="65">
        <f>1075694.8-766067.9</f>
        <v>309626.9</v>
      </c>
      <c r="L176" s="69">
        <f>482522.7+25375.8</f>
        <v>507898.5</v>
      </c>
      <c r="M176" s="69">
        <v>0</v>
      </c>
      <c r="N176" s="65">
        <v>20</v>
      </c>
      <c r="O176" s="70"/>
      <c r="P176" s="65">
        <v>30053.100000000002</v>
      </c>
      <c r="Q176" s="69" t="s">
        <v>4</v>
      </c>
      <c r="R176" s="72">
        <f>303010.4+128.8+887.8-1223.8-55379.4-2741.2-79218.4+59154</f>
        <v>224618.2</v>
      </c>
      <c r="S176" s="65">
        <f t="shared" si="13"/>
        <v>955156.8999999999</v>
      </c>
      <c r="T176" s="65">
        <v>3436868.3999999994</v>
      </c>
      <c r="U176" s="65">
        <f t="shared" si="15"/>
        <v>3.5982239148353528</v>
      </c>
    </row>
    <row r="177" spans="1:21" s="62" customFormat="1" ht="18">
      <c r="A177" s="64" t="s">
        <v>65</v>
      </c>
      <c r="B177" s="65">
        <v>539682.3</v>
      </c>
      <c r="C177" s="65">
        <v>355152</v>
      </c>
      <c r="D177" s="65">
        <v>13595.199999999999</v>
      </c>
      <c r="E177" s="65">
        <v>1289.6</v>
      </c>
      <c r="F177" s="65">
        <v>12681.3</v>
      </c>
      <c r="G177" s="65">
        <v>26.4</v>
      </c>
      <c r="H177" s="67">
        <f>5471.3+27258.8</f>
        <v>32730.1</v>
      </c>
      <c r="I177" s="65">
        <f>H177+F177+E177+C177+B177+G177+D177</f>
        <v>955156.9</v>
      </c>
      <c r="J177" s="73">
        <f>606922.2+1223.8-725205.8</f>
        <v>-117059.80000000005</v>
      </c>
      <c r="K177" s="65">
        <f>1075694.8-766067.9</f>
        <v>309626.9</v>
      </c>
      <c r="L177" s="69">
        <f>482522.7+25375.8</f>
        <v>507898.5</v>
      </c>
      <c r="M177" s="69">
        <v>0</v>
      </c>
      <c r="N177" s="65">
        <v>20</v>
      </c>
      <c r="O177" s="70"/>
      <c r="P177" s="65">
        <v>30053.100000000002</v>
      </c>
      <c r="Q177" s="69" t="s">
        <v>4</v>
      </c>
      <c r="R177" s="72">
        <f>303010.4+128.8+887.8-1223.8-55379.4-2741.2-79218.4+59154</f>
        <v>224618.2</v>
      </c>
      <c r="S177" s="65">
        <f t="shared" si="13"/>
        <v>955156.8999999999</v>
      </c>
      <c r="T177" s="65">
        <v>3461065</v>
      </c>
      <c r="U177" s="65">
        <f>T177/I177</f>
        <v>3.6235565067896176</v>
      </c>
    </row>
    <row r="178" spans="1:21" s="62" customFormat="1" ht="18">
      <c r="A178" s="64" t="s">
        <v>66</v>
      </c>
      <c r="B178" s="65">
        <v>539682.3</v>
      </c>
      <c r="C178" s="65">
        <v>355152</v>
      </c>
      <c r="D178" s="65">
        <v>13595.199999999999</v>
      </c>
      <c r="E178" s="65">
        <v>1289.6</v>
      </c>
      <c r="F178" s="65">
        <v>12681.3</v>
      </c>
      <c r="G178" s="65">
        <v>26.4</v>
      </c>
      <c r="H178" s="67">
        <f>5471.3+27258.8</f>
        <v>32730.1</v>
      </c>
      <c r="I178" s="65">
        <f>H178+F178+E178+C178+B178+G178+D178</f>
        <v>955156.9</v>
      </c>
      <c r="J178" s="73">
        <f>606922.2+1223.8-725205.8</f>
        <v>-117059.80000000005</v>
      </c>
      <c r="K178" s="65">
        <f>1075694.8-766067.9</f>
        <v>309626.9</v>
      </c>
      <c r="L178" s="69">
        <f>482522.7+25375.8</f>
        <v>507898.5</v>
      </c>
      <c r="M178" s="69">
        <v>0</v>
      </c>
      <c r="N178" s="65">
        <v>20</v>
      </c>
      <c r="O178" s="70"/>
      <c r="P178" s="65">
        <v>30053.100000000002</v>
      </c>
      <c r="Q178" s="69" t="s">
        <v>4</v>
      </c>
      <c r="R178" s="72">
        <f>303010.4+128.8+887.8-1223.8-55379.4-2741.2-79218.4+59154</f>
        <v>224618.2</v>
      </c>
      <c r="S178" s="65">
        <f t="shared" si="13"/>
        <v>955156.8999999999</v>
      </c>
      <c r="T178" s="65">
        <v>3568038.5999999996</v>
      </c>
      <c r="U178" s="65">
        <f>T178/I178</f>
        <v>3.7355523474729644</v>
      </c>
    </row>
    <row r="179" spans="1:21" s="62" customFormat="1" ht="23.25" customHeight="1">
      <c r="A179" s="87" t="s">
        <v>5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9"/>
    </row>
    <row r="180" spans="1:21" s="62" customFormat="1" ht="15.7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</sheetData>
  <sheetProtection/>
  <mergeCells count="7">
    <mergeCell ref="A179:U179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3"/>
  <sheetViews>
    <sheetView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1" sqref="S61:S62"/>
    </sheetView>
  </sheetViews>
  <sheetFormatPr defaultColWidth="11.5546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11.5546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62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7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5.75">
      <c r="A50" s="64">
        <v>43555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1885235.1999999997</v>
      </c>
      <c r="U50" s="65">
        <f t="shared" si="5"/>
        <v>3.105938670553905</v>
      </c>
    </row>
    <row r="51" spans="1:21" s="62" customFormat="1" ht="15.75">
      <c r="A51" s="64">
        <v>43646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2029488.7000000002</v>
      </c>
      <c r="U51" s="65">
        <f t="shared" si="5"/>
        <v>3.084514495930987</v>
      </c>
    </row>
    <row r="52" spans="1:21" s="62" customFormat="1" ht="15.75">
      <c r="A52" s="64">
        <v>43738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 t="shared" si="6"/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2074809.1</v>
      </c>
      <c r="U52" s="65">
        <f t="shared" si="5"/>
        <v>3.2195715512035012</v>
      </c>
    </row>
    <row r="53" spans="1:21" s="62" customFormat="1" ht="15.75">
      <c r="A53" s="64">
        <v>43830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 t="shared" si="6"/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2202818.5999999996</v>
      </c>
      <c r="U53" s="65">
        <f>T53/I53</f>
        <v>3.1552152856199136</v>
      </c>
    </row>
    <row r="54" spans="1:21" s="62" customFormat="1" ht="15.75">
      <c r="A54" s="64">
        <v>43921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 t="shared" si="6"/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215607.8+157.9+887.8-5935-58131.8-2423-128005.9+53412.7</f>
        <v>75570.49999999996</v>
      </c>
      <c r="S54" s="65">
        <f t="shared" si="4"/>
        <v>643970.4000000001</v>
      </c>
      <c r="T54" s="65">
        <v>2212757</v>
      </c>
      <c r="U54" s="65">
        <f>T54/I54</f>
        <v>3.436116007816508</v>
      </c>
    </row>
    <row r="55" spans="1:21" s="62" customFormat="1" ht="15.75">
      <c r="A55" s="64">
        <v>44012</v>
      </c>
      <c r="B55" s="65">
        <v>434272.9</v>
      </c>
      <c r="C55" s="65">
        <v>203225.4</v>
      </c>
      <c r="D55" s="65">
        <v>10577.3</v>
      </c>
      <c r="E55" s="65">
        <v>3411.8</v>
      </c>
      <c r="F55" s="65">
        <v>9558.399999999998</v>
      </c>
      <c r="G55" s="65">
        <v>3.5</v>
      </c>
      <c r="H55" s="67">
        <f>3006.1+39875.7</f>
        <v>42881.799999999996</v>
      </c>
      <c r="I55" s="65">
        <f t="shared" si="6"/>
        <v>703931.1000000001</v>
      </c>
      <c r="J55" s="73">
        <f>167975.9+4763.1-357357.6</f>
        <v>-184618.59999999998</v>
      </c>
      <c r="K55" s="65">
        <f>736222.2-432881.7</f>
        <v>303340.49999999994</v>
      </c>
      <c r="L55" s="69">
        <v>421436.2</v>
      </c>
      <c r="M55" s="69">
        <v>0</v>
      </c>
      <c r="N55" s="65">
        <v>20</v>
      </c>
      <c r="O55" s="70"/>
      <c r="P55" s="65">
        <v>26117.6</v>
      </c>
      <c r="Q55" s="69" t="s">
        <v>4</v>
      </c>
      <c r="R55" s="72">
        <f>281819.7+157.9+887.8-4763.1-55808.9-2715.5-130627.9+48685.4</f>
        <v>137635.40000000005</v>
      </c>
      <c r="S55" s="65">
        <f t="shared" si="4"/>
        <v>703931.1</v>
      </c>
      <c r="T55" s="65">
        <v>2401552.5</v>
      </c>
      <c r="U55" s="65">
        <f>T55/I55</f>
        <v>3.4116300586804584</v>
      </c>
    </row>
    <row r="56" spans="1:21" s="62" customFormat="1" ht="15.75">
      <c r="A56" s="64">
        <v>44104</v>
      </c>
      <c r="B56" s="65">
        <v>454635.1</v>
      </c>
      <c r="C56" s="65">
        <v>225925.4</v>
      </c>
      <c r="D56" s="65">
        <v>17859.6</v>
      </c>
      <c r="E56" s="65">
        <v>5187.4</v>
      </c>
      <c r="F56" s="65">
        <v>16733</v>
      </c>
      <c r="G56" s="65">
        <v>3</v>
      </c>
      <c r="H56" s="67">
        <f>3919.9+41267.2</f>
        <v>45187.1</v>
      </c>
      <c r="I56" s="65">
        <f t="shared" si="6"/>
        <v>765530.6</v>
      </c>
      <c r="J56" s="73">
        <f>196602.9+4763.1-352390.2</f>
        <v>-151024.2</v>
      </c>
      <c r="K56" s="65">
        <f>901482.7-447533.4</f>
        <v>453949.29999999993</v>
      </c>
      <c r="L56" s="69">
        <f>360450+4000</f>
        <v>364450</v>
      </c>
      <c r="M56" s="69">
        <v>0</v>
      </c>
      <c r="N56" s="65">
        <v>20</v>
      </c>
      <c r="O56" s="70"/>
      <c r="P56" s="65">
        <v>27566.4</v>
      </c>
      <c r="Q56" s="69" t="s">
        <v>4</v>
      </c>
      <c r="R56" s="72">
        <f>200006.1+157.9+887.8-4763.1-65861.7-2821.3-143938.8+86902.2</f>
        <v>70569.09999999999</v>
      </c>
      <c r="S56" s="65">
        <f t="shared" si="4"/>
        <v>765530.5999999999</v>
      </c>
      <c r="T56" s="65">
        <v>2577494.4</v>
      </c>
      <c r="U56" s="65">
        <f>T56/I56</f>
        <v>3.3669384345968667</v>
      </c>
    </row>
    <row r="57" spans="1:21" s="62" customFormat="1" ht="15.75">
      <c r="A57" s="64">
        <v>44196</v>
      </c>
      <c r="B57" s="65">
        <v>503703.5</v>
      </c>
      <c r="C57" s="65">
        <v>216248.8</v>
      </c>
      <c r="D57" s="65">
        <v>9345.300000000001</v>
      </c>
      <c r="E57" s="65">
        <v>4005.2</v>
      </c>
      <c r="F57" s="65">
        <v>5956.7</v>
      </c>
      <c r="G57" s="65">
        <v>4.7</v>
      </c>
      <c r="H57" s="67">
        <f>5393.2+34319.3</f>
        <v>39712.5</v>
      </c>
      <c r="I57" s="65">
        <f t="shared" si="6"/>
        <v>778976.7</v>
      </c>
      <c r="J57" s="73">
        <f>246109.6+4763.1-343978</f>
        <v>-93105.29999999999</v>
      </c>
      <c r="K57" s="65">
        <f>894667.8-456634.2</f>
        <v>438033.60000000003</v>
      </c>
      <c r="L57" s="69">
        <f>298901.2+4000</f>
        <v>302901.2</v>
      </c>
      <c r="M57" s="69">
        <v>0</v>
      </c>
      <c r="N57" s="65">
        <v>20</v>
      </c>
      <c r="O57" s="70"/>
      <c r="P57" s="65">
        <v>28597.200000000004</v>
      </c>
      <c r="Q57" s="69" t="s">
        <v>4</v>
      </c>
      <c r="R57" s="72">
        <f>213092.6+157.9+887.8-4763.1-63218.3-2905.1-100594.8+59873</f>
        <v>102529.99999999996</v>
      </c>
      <c r="S57" s="65">
        <f t="shared" si="4"/>
        <v>778976.7</v>
      </c>
      <c r="T57" s="65">
        <v>2733847</v>
      </c>
      <c r="U57" s="65">
        <f>T57/I57</f>
        <v>3.5095362929340506</v>
      </c>
    </row>
    <row r="58" spans="1:21" s="62" customFormat="1" ht="15.75">
      <c r="A58" s="64">
        <v>44286</v>
      </c>
      <c r="B58" s="65">
        <v>474986</v>
      </c>
      <c r="C58" s="65">
        <v>137912.3</v>
      </c>
      <c r="D58" s="65">
        <v>22891.199999999997</v>
      </c>
      <c r="E58" s="65">
        <v>5859.7</v>
      </c>
      <c r="F58" s="65">
        <v>13232.5</v>
      </c>
      <c r="G58" s="65">
        <v>48.9</v>
      </c>
      <c r="H58" s="67">
        <v>40457.9</v>
      </c>
      <c r="I58" s="65">
        <f>H58+F58+E58+C58+B58+G58+D58</f>
        <v>695388.5</v>
      </c>
      <c r="J58" s="73">
        <v>-119123.90000000002</v>
      </c>
      <c r="K58" s="65">
        <v>372644.30000000005</v>
      </c>
      <c r="L58" s="69">
        <v>299757</v>
      </c>
      <c r="M58" s="69">
        <v>0</v>
      </c>
      <c r="N58" s="65">
        <v>20</v>
      </c>
      <c r="O58" s="70"/>
      <c r="P58" s="65">
        <v>28260.000000000004</v>
      </c>
      <c r="Q58" s="69" t="s">
        <v>4</v>
      </c>
      <c r="R58" s="72">
        <v>113831.09999999998</v>
      </c>
      <c r="S58" s="65">
        <f t="shared" si="4"/>
        <v>695388.5</v>
      </c>
      <c r="T58" s="65">
        <v>2839690.1999999993</v>
      </c>
      <c r="U58" s="65">
        <v>4.083602475450772</v>
      </c>
    </row>
    <row r="59" spans="1:21" s="62" customFormat="1" ht="15.75">
      <c r="A59" s="64">
        <v>44377</v>
      </c>
      <c r="B59" s="65">
        <v>536813.3</v>
      </c>
      <c r="C59" s="65">
        <v>203784.59999999998</v>
      </c>
      <c r="D59" s="65">
        <v>10404.800000000001</v>
      </c>
      <c r="E59" s="65">
        <v>3747.8</v>
      </c>
      <c r="F59" s="65">
        <v>12463.2</v>
      </c>
      <c r="G59" s="65">
        <v>59.9</v>
      </c>
      <c r="H59" s="67">
        <f>2709.3+37343.6</f>
        <v>40052.9</v>
      </c>
      <c r="I59" s="65">
        <f>H59+F59+E59+C59+B59+G59+D59</f>
        <v>807326.5000000001</v>
      </c>
      <c r="J59" s="73">
        <f>189347.2+2395.7-306331.3</f>
        <v>-114588.39999999997</v>
      </c>
      <c r="K59" s="65">
        <f>957639.8-552989.6</f>
        <v>404650.20000000007</v>
      </c>
      <c r="L59" s="69">
        <f>319679.4+4000</f>
        <v>323679.4</v>
      </c>
      <c r="M59" s="69">
        <v>0</v>
      </c>
      <c r="N59" s="65">
        <v>20</v>
      </c>
      <c r="O59" s="70"/>
      <c r="P59" s="65">
        <v>28596.800000000003</v>
      </c>
      <c r="Q59" s="69" t="s">
        <v>4</v>
      </c>
      <c r="R59" s="72">
        <f>245784.3+157.9+887.8-2395.7-65638.1-2642.7-81337.2+70152.2</f>
        <v>164968.49999999994</v>
      </c>
      <c r="S59" s="65">
        <f t="shared" si="4"/>
        <v>807326.5000000002</v>
      </c>
      <c r="T59" s="65">
        <v>3094992.5300000003</v>
      </c>
      <c r="U59" s="65">
        <f>T59/I59</f>
        <v>3.833631783423435</v>
      </c>
    </row>
    <row r="60" spans="1:21" s="62" customFormat="1" ht="15.75">
      <c r="A60" s="64">
        <v>44440</v>
      </c>
      <c r="B60" s="65">
        <v>551949.2</v>
      </c>
      <c r="C60" s="65">
        <v>208470.7</v>
      </c>
      <c r="D60" s="65">
        <v>24343.3</v>
      </c>
      <c r="E60" s="65">
        <v>1656.8000000000002</v>
      </c>
      <c r="F60" s="65">
        <v>15452.1</v>
      </c>
      <c r="G60" s="65">
        <v>8.4</v>
      </c>
      <c r="H60" s="67">
        <f>2968.9+36138.1</f>
        <v>39107</v>
      </c>
      <c r="I60" s="65">
        <f>H60+F60+E60+C60+B60+G60+D60</f>
        <v>840987.5000000001</v>
      </c>
      <c r="J60" s="73">
        <f>616721.2+2395.7-769655.5</f>
        <v>-150538.6000000001</v>
      </c>
      <c r="K60" s="65">
        <f>903396.7-579377.3</f>
        <v>324019.3999999999</v>
      </c>
      <c r="L60" s="69">
        <f>400478.4+25375.9</f>
        <v>425854.30000000005</v>
      </c>
      <c r="M60" s="69">
        <v>0</v>
      </c>
      <c r="N60" s="65">
        <v>20</v>
      </c>
      <c r="O60" s="70"/>
      <c r="P60" s="65">
        <v>28737.300000000003</v>
      </c>
      <c r="Q60" s="69" t="s">
        <v>4</v>
      </c>
      <c r="R60" s="72">
        <f>283135.9+157.9+887.8-2395.7-56628.3-2642.5-77652.2+68032.2</f>
        <v>212895.10000000003</v>
      </c>
      <c r="S60" s="65">
        <f t="shared" si="4"/>
        <v>840987.5</v>
      </c>
      <c r="T60" s="65">
        <v>3326752.6</v>
      </c>
      <c r="U60" s="65">
        <f>T60/I60</f>
        <v>3.9557693782606753</v>
      </c>
    </row>
    <row r="61" spans="1:21" s="62" customFormat="1" ht="15.75">
      <c r="A61" s="64">
        <v>44532</v>
      </c>
      <c r="B61" s="65">
        <v>567563.8</v>
      </c>
      <c r="C61" s="65">
        <v>156833.90000000002</v>
      </c>
      <c r="D61" s="65">
        <v>9985.4</v>
      </c>
      <c r="E61" s="65">
        <v>1729.1</v>
      </c>
      <c r="F61" s="65">
        <v>12685.6</v>
      </c>
      <c r="G61" s="65">
        <v>20.1</v>
      </c>
      <c r="H61" s="67">
        <f>4946.5+33875.1</f>
        <v>38821.6</v>
      </c>
      <c r="I61" s="65">
        <f>H61+F61+E61+C61+B61+G61+D61</f>
        <v>787639.5</v>
      </c>
      <c r="J61" s="73">
        <f>592002.6+1223.8-734574.5</f>
        <v>-141348.09999999998</v>
      </c>
      <c r="K61" s="65">
        <f>901529.1-749283.4</f>
        <v>152245.69999999995</v>
      </c>
      <c r="L61" s="69">
        <f>505085.9+25375.8</f>
        <v>530461.7000000001</v>
      </c>
      <c r="M61" s="69">
        <v>0</v>
      </c>
      <c r="N61" s="65">
        <v>20</v>
      </c>
      <c r="O61" s="70"/>
      <c r="P61" s="65">
        <v>29929.7</v>
      </c>
      <c r="Q61" s="69" t="s">
        <v>4</v>
      </c>
      <c r="R61" s="72">
        <f>295752.6+157.9+887.8-1223.8-56884.4-2822-78582.8+59045.2</f>
        <v>216330.5</v>
      </c>
      <c r="S61" s="65">
        <f t="shared" si="4"/>
        <v>787639.5</v>
      </c>
      <c r="T61" s="65">
        <v>3293260.5999999996</v>
      </c>
      <c r="U61" s="65">
        <f>T61/I61</f>
        <v>4.181177556483645</v>
      </c>
    </row>
    <row r="62" spans="1:21" s="62" customFormat="1" ht="18">
      <c r="A62" s="64" t="s">
        <v>65</v>
      </c>
      <c r="B62" s="65">
        <v>539682.3</v>
      </c>
      <c r="C62" s="65">
        <v>355152</v>
      </c>
      <c r="D62" s="65">
        <v>13595.199999999999</v>
      </c>
      <c r="E62" s="65">
        <v>1289.6</v>
      </c>
      <c r="F62" s="65">
        <v>12681.3</v>
      </c>
      <c r="G62" s="65">
        <v>26.4</v>
      </c>
      <c r="H62" s="67">
        <f>5471.3+27258.8</f>
        <v>32730.1</v>
      </c>
      <c r="I62" s="65">
        <f>H62+F62+E62+C62+B62+G62+D62</f>
        <v>955156.9</v>
      </c>
      <c r="J62" s="73">
        <f>606922.2+1223.8-725205.8</f>
        <v>-117059.80000000005</v>
      </c>
      <c r="K62" s="65">
        <f>1075694.8-766067.9</f>
        <v>309626.9</v>
      </c>
      <c r="L62" s="69">
        <f>482522.7+25375.8</f>
        <v>507898.5</v>
      </c>
      <c r="M62" s="69">
        <v>0</v>
      </c>
      <c r="N62" s="65">
        <v>20</v>
      </c>
      <c r="O62" s="70"/>
      <c r="P62" s="65">
        <v>30053.100000000002</v>
      </c>
      <c r="Q62" s="69" t="s">
        <v>4</v>
      </c>
      <c r="R62" s="72">
        <f>303010.4+128.8+887.8-1223.8-55379.4-2741.2-79218.4+59154</f>
        <v>224618.2</v>
      </c>
      <c r="S62" s="65">
        <f t="shared" si="4"/>
        <v>955156.8999999999</v>
      </c>
      <c r="T62" s="65">
        <v>3461065</v>
      </c>
      <c r="U62" s="65">
        <f>T62/I62</f>
        <v>3.6235565067896176</v>
      </c>
    </row>
    <row r="63" spans="1:21" s="62" customFormat="1" ht="23.25" customHeight="1">
      <c r="A63" s="87" t="s">
        <v>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</row>
  </sheetData>
  <sheetProtection/>
  <mergeCells count="7">
    <mergeCell ref="A63:U63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6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9:U19"/>
    </sheetView>
  </sheetViews>
  <sheetFormatPr defaultColWidth="8.88671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  <col min="22" max="16384" width="11.55468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9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3">
        <v>2019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2202818.5999999996</v>
      </c>
      <c r="U17" s="65">
        <f>T17/I17</f>
        <v>3.1552152856199136</v>
      </c>
    </row>
    <row r="18" spans="1:21" s="62" customFormat="1" ht="15.75">
      <c r="A18" s="83">
        <v>2020</v>
      </c>
      <c r="B18" s="65">
        <v>503703.5</v>
      </c>
      <c r="C18" s="65">
        <v>216248.8</v>
      </c>
      <c r="D18" s="65">
        <v>9345.300000000001</v>
      </c>
      <c r="E18" s="65">
        <v>4005.2</v>
      </c>
      <c r="F18" s="65">
        <v>5956.7</v>
      </c>
      <c r="G18" s="65">
        <v>4.7</v>
      </c>
      <c r="H18" s="67">
        <f>5393.2+34319.3</f>
        <v>39712.5</v>
      </c>
      <c r="I18" s="65">
        <f>H18+F18+E18+C18+B18+G18+D18</f>
        <v>778976.7</v>
      </c>
      <c r="J18" s="73">
        <f>246109.6+4763.1-343978</f>
        <v>-93105.29999999999</v>
      </c>
      <c r="K18" s="65">
        <f>894667.8-456634.2</f>
        <v>438033.60000000003</v>
      </c>
      <c r="L18" s="69">
        <f>298901.2+4000</f>
        <v>302901.2</v>
      </c>
      <c r="M18" s="69">
        <v>0</v>
      </c>
      <c r="N18" s="65">
        <v>20</v>
      </c>
      <c r="O18" s="70"/>
      <c r="P18" s="65">
        <v>28597.200000000004</v>
      </c>
      <c r="Q18" s="69" t="s">
        <v>4</v>
      </c>
      <c r="R18" s="72">
        <f>213092.6+157.9+887.8-4763.1-63218.3-2905.1-100594.8+59873</f>
        <v>102529.99999999996</v>
      </c>
      <c r="S18" s="65">
        <f t="shared" si="1"/>
        <v>778976.7</v>
      </c>
      <c r="T18" s="65">
        <v>2733847</v>
      </c>
      <c r="U18" s="65">
        <f>T18/I18</f>
        <v>3.5095362929340506</v>
      </c>
    </row>
    <row r="19" spans="1:21" s="62" customFormat="1" ht="15.75">
      <c r="A19" s="83">
        <v>2021</v>
      </c>
      <c r="B19" s="65">
        <v>567563.8</v>
      </c>
      <c r="C19" s="65">
        <v>156833.90000000002</v>
      </c>
      <c r="D19" s="65">
        <v>9985.4</v>
      </c>
      <c r="E19" s="65">
        <v>1729.1</v>
      </c>
      <c r="F19" s="65">
        <v>12685.6</v>
      </c>
      <c r="G19" s="65">
        <v>20.1</v>
      </c>
      <c r="H19" s="67">
        <f>4946.5+33875.1</f>
        <v>38821.6</v>
      </c>
      <c r="I19" s="65">
        <f>H19+F19+E19+C19+B19+G19+D19</f>
        <v>787639.5</v>
      </c>
      <c r="J19" s="73">
        <f>592002.6+1223.8-734574.5</f>
        <v>-141348.09999999998</v>
      </c>
      <c r="K19" s="65">
        <f>901529.1-749283.4</f>
        <v>152245.69999999995</v>
      </c>
      <c r="L19" s="69">
        <f>505085.9+25375.8</f>
        <v>530461.7000000001</v>
      </c>
      <c r="M19" s="69">
        <v>0</v>
      </c>
      <c r="N19" s="65">
        <v>20</v>
      </c>
      <c r="O19" s="70"/>
      <c r="P19" s="65">
        <v>29929.7</v>
      </c>
      <c r="Q19" s="69" t="s">
        <v>4</v>
      </c>
      <c r="R19" s="72">
        <f>295752.6+157.9+887.8-1223.8-56884.4-2822-78582.8+59045.2</f>
        <v>216330.5</v>
      </c>
      <c r="S19" s="65">
        <f t="shared" si="1"/>
        <v>787639.5</v>
      </c>
      <c r="T19" s="65">
        <v>3293260.5999999996</v>
      </c>
      <c r="U19" s="65">
        <f>T19/I19</f>
        <v>4.181177556483645</v>
      </c>
    </row>
    <row r="20" spans="1:21" s="62" customFormat="1" ht="15.75">
      <c r="A20" s="87" t="s">
        <v>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</row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2"/>
      <c r="M61" s="32"/>
      <c r="N61" s="32"/>
      <c r="O61" s="36"/>
      <c r="P61" s="32"/>
      <c r="Q61" s="35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2"/>
      <c r="M62" s="32"/>
      <c r="N62" s="32"/>
      <c r="O62" s="36"/>
      <c r="P62" s="32"/>
      <c r="Q62" s="35"/>
      <c r="R62" s="38"/>
      <c r="S62" s="32"/>
      <c r="T62" s="32"/>
      <c r="U62" s="32"/>
    </row>
    <row r="63" spans="1:21" ht="18.75">
      <c r="A63" s="39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7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7"/>
      <c r="R75" s="38"/>
      <c r="S75" s="32"/>
      <c r="T75" s="32"/>
      <c r="U75" s="32"/>
    </row>
    <row r="76" spans="1:21" ht="18.75">
      <c r="A76" s="39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9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8.75">
      <c r="A90" s="31"/>
      <c r="B90" s="32"/>
      <c r="C90" s="32"/>
      <c r="D90" s="32"/>
      <c r="E90" s="32"/>
      <c r="F90" s="32"/>
      <c r="G90" s="32"/>
      <c r="H90" s="33"/>
      <c r="I90" s="32"/>
      <c r="J90" s="34"/>
      <c r="K90" s="32"/>
      <c r="L90" s="35"/>
      <c r="M90" s="35"/>
      <c r="N90" s="32"/>
      <c r="O90" s="36"/>
      <c r="P90" s="32"/>
      <c r="Q90" s="35"/>
      <c r="R90" s="38"/>
      <c r="S90" s="32"/>
      <c r="T90" s="32"/>
      <c r="U90" s="32"/>
    </row>
    <row r="91" spans="1:21" ht="18.75">
      <c r="A91" s="31"/>
      <c r="B91" s="32"/>
      <c r="C91" s="32"/>
      <c r="D91" s="32"/>
      <c r="E91" s="32"/>
      <c r="F91" s="32"/>
      <c r="G91" s="32"/>
      <c r="H91" s="33"/>
      <c r="I91" s="32"/>
      <c r="J91" s="34"/>
      <c r="K91" s="32"/>
      <c r="L91" s="35"/>
      <c r="M91" s="35"/>
      <c r="N91" s="32"/>
      <c r="O91" s="36"/>
      <c r="P91" s="32"/>
      <c r="Q91" s="35"/>
      <c r="R91" s="38"/>
      <c r="S91" s="32"/>
      <c r="T91" s="32"/>
      <c r="U91" s="3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9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7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  <row r="115" spans="1:21" ht="15.75">
      <c r="A115" s="19"/>
      <c r="B115" s="12"/>
      <c r="C115" s="12"/>
      <c r="D115" s="12"/>
      <c r="E115" s="12"/>
      <c r="F115" s="12"/>
      <c r="G115" s="12"/>
      <c r="H115" s="13"/>
      <c r="I115" s="12"/>
      <c r="J115" s="18"/>
      <c r="K115" s="12"/>
      <c r="L115" s="14"/>
      <c r="M115" s="14"/>
      <c r="N115" s="12"/>
      <c r="O115" s="15"/>
      <c r="P115" s="12"/>
      <c r="Q115" s="14"/>
      <c r="R115" s="16"/>
      <c r="S115" s="12"/>
      <c r="T115" s="12"/>
      <c r="U115" s="12"/>
    </row>
    <row r="116" spans="1:21" ht="15.75">
      <c r="A116" s="17"/>
      <c r="B116" s="12"/>
      <c r="C116" s="12"/>
      <c r="D116" s="12"/>
      <c r="E116" s="12"/>
      <c r="F116" s="12"/>
      <c r="G116" s="12"/>
      <c r="H116" s="13"/>
      <c r="I116" s="12"/>
      <c r="J116" s="18"/>
      <c r="K116" s="12"/>
      <c r="L116" s="14"/>
      <c r="M116" s="14"/>
      <c r="N116" s="12"/>
      <c r="O116" s="15"/>
      <c r="P116" s="12"/>
      <c r="Q116" s="14"/>
      <c r="R116" s="16"/>
      <c r="S116" s="12"/>
      <c r="T116" s="12"/>
      <c r="U116" s="12"/>
    </row>
  </sheetData>
  <sheetProtection/>
  <mergeCells count="7">
    <mergeCell ref="A20:U20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2016-08-22T15:17:49Z</cp:lastPrinted>
  <dcterms:created xsi:type="dcterms:W3CDTF">2000-09-13T06:05:15Z</dcterms:created>
  <dcterms:modified xsi:type="dcterms:W3CDTF">2022-06-27T07:01:39Z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