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<sst xmlns="http://schemas.openxmlformats.org/spreadsheetml/2006/main" count="651" uniqueCount="90">
  <si>
    <t xml:space="preserve"> </t>
  </si>
  <si>
    <t>BASE MONETAIRE</t>
  </si>
  <si>
    <t>CONTREPARTIES DE LA BASE MONETAIRE</t>
  </si>
  <si>
    <t>EVOLUTION DE  LA BASE MONETAIRE, DE LA MASSE MONETAIRE ET  DU MULTIPLICATEUR</t>
  </si>
  <si>
    <t>-</t>
  </si>
  <si>
    <t>Source : BRB</t>
  </si>
  <si>
    <t>Dépôts  des microfinances</t>
  </si>
  <si>
    <t xml:space="preserve"> Dépôts   des établissements financiers</t>
  </si>
  <si>
    <t>Dépôts  des sociétés à participation publique</t>
  </si>
  <si>
    <t>Dépôts  des Administrations locales</t>
  </si>
  <si>
    <t>Avoirs  extérieurs nets</t>
  </si>
  <si>
    <t>Créances  nettes sur  l'Etat</t>
  </si>
  <si>
    <t>Créances sur les banques  commerciales</t>
  </si>
  <si>
    <t>Créances sur les établissements  financiers</t>
  </si>
  <si>
    <t>Créances sur les sociétés  à participation</t>
  </si>
  <si>
    <t>Créances sur les administrations locales</t>
  </si>
  <si>
    <t xml:space="preserve">Créances sur le secteur privé </t>
  </si>
  <si>
    <t xml:space="preserve">Reprise  de liquidité </t>
  </si>
  <si>
    <t xml:space="preserve">Autres postes nets  </t>
  </si>
  <si>
    <t>MASSE MONETAIRE (M3)</t>
  </si>
  <si>
    <t xml:space="preserve"> MULTIPLICATEUR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</si>
  <si>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</si>
  <si>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</si>
  <si>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</si>
  <si>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</si>
  <si>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</si>
  <si>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</si>
  <si>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</si>
  <si>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</si>
  <si>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</si>
  <si>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</si>
  <si>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</si>
  <si>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</si>
  <si>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</si>
  <si>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</si>
  <si>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</si>
  <si>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</si>
  <si>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</si>
  <si>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</si>
  <si>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</si>
  <si>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Dépôts du secteur bancaire</t>
  </si>
  <si>
    <t>Dépôts du secteur bancaire</t>
  </si>
  <si>
    <t>Dépôts des microfinances</t>
  </si>
  <si>
    <t>Période          Rubliques</t>
  </si>
  <si>
    <t xml:space="preserve">  Autres Dépôts   </t>
  </si>
  <si>
    <t xml:space="preserve">Autres Dépôts   </t>
  </si>
  <si>
    <t xml:space="preserve"> Dépôts des établissements financiers</t>
  </si>
  <si>
    <t>Billets et Pièces en circulation(hors BRB)</t>
  </si>
  <si>
    <t>Créances sur les établissements financiers</t>
  </si>
  <si>
    <t>Créances sur les sociétés à participation</t>
  </si>
  <si>
    <t>Dépôts des établissements financiers</t>
  </si>
  <si>
    <t xml:space="preserve">  Billets et Pièces en  circulation(hors BRB)</t>
  </si>
  <si>
    <t>Dépôts des sociétés à participation publique</t>
  </si>
  <si>
    <t>Les données les plus récentes</t>
  </si>
  <si>
    <t>Evolution de la base monétaire,de la masse monétaire et du multiplicateur</t>
  </si>
  <si>
    <t>Evolution de la base monétaire,de la masse monétaire et du multiplicateur données trimestrielles</t>
  </si>
  <si>
    <t>Evolution de la base monétaire,de la masse monétaire et du multiplicateur données mensuelles</t>
  </si>
  <si>
    <t>Evolution de la base monétaire,de la masse monétaire et du multiplicateur données annuelles</t>
  </si>
  <si>
    <t>Evolution de la base monétaire,de la masse monétaire et du multiplicateur renseigne sur l'évolution de la base monétaire et de ses contreparties, de la masse monétaire(M3) et du multiplicateur , celui-ci étant le rapport entre la masse monétaire et la base monétaire</t>
  </si>
  <si>
    <t>evolution de la base monétaire,de la masse monétaire et du multiplicateur.xls</t>
  </si>
  <si>
    <t>II.6</t>
  </si>
  <si>
    <r>
      <t>Janvier-22</t>
    </r>
    <r>
      <rPr>
        <vertAlign val="superscript"/>
        <sz val="12"/>
        <rFont val="Calibri"/>
        <family val="2"/>
      </rPr>
      <t>(p)</t>
    </r>
  </si>
  <si>
    <r>
      <t>Février-22</t>
    </r>
    <r>
      <rPr>
        <vertAlign val="superscript"/>
        <sz val="12"/>
        <rFont val="Calibri"/>
        <family val="2"/>
      </rPr>
      <t>(p)</t>
    </r>
  </si>
  <si>
    <r>
      <t>Mars-22</t>
    </r>
    <r>
      <rPr>
        <vertAlign val="superscript"/>
        <sz val="12"/>
        <rFont val="Calibri"/>
        <family val="2"/>
      </rPr>
      <t>(p)</t>
    </r>
  </si>
  <si>
    <r>
      <t>Avril-22</t>
    </r>
    <r>
      <rPr>
        <vertAlign val="superscript"/>
        <sz val="12"/>
        <rFont val="Calibri"/>
        <family val="2"/>
      </rPr>
      <t>(p)</t>
    </r>
  </si>
  <si>
    <r>
      <t>Mai-22</t>
    </r>
    <r>
      <rPr>
        <vertAlign val="superscript"/>
        <sz val="12"/>
        <rFont val="Calibri"/>
        <family val="2"/>
      </rPr>
      <t>(p)</t>
    </r>
  </si>
  <si>
    <r>
      <t>Juin-22</t>
    </r>
    <r>
      <rPr>
        <vertAlign val="superscript"/>
        <sz val="12"/>
        <rFont val="Calibri"/>
        <family val="2"/>
      </rPr>
      <t>(p)</t>
    </r>
  </si>
  <si>
    <r>
      <t>Juillet-22</t>
    </r>
    <r>
      <rPr>
        <vertAlign val="superscript"/>
        <sz val="12"/>
        <rFont val="Calibri"/>
        <family val="2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</si>
  <si>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</si>
  <si>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</si>
  <si>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</si>
  <si>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</si>
  <si>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</si>
  <si>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</si>
  <si>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</si>
  <si>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</si>
  <si>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</si>
  <si>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</si>
  <si>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</si>
  <si>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</si>
  <si>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</si>
  <si>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</si>
  <si>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r>
      <t>Oct-23</t>
    </r>
    <r>
      <rPr>
        <vertAlign val="superscript"/>
        <sz val="12"/>
        <rFont val="Cambria"/>
        <family val="1"/>
      </rPr>
      <t>(p)</t>
    </r>
  </si>
  <si>
    <r>
      <t>Nov-23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</si>
  <si>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</si>
  <si>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</si>
  <si>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</si>
  <si>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</si>
  <si>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t>2022(p)</t>
  </si>
  <si>
    <r>
      <t>Jan-24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</si>
</sst>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Bu&quot;;\-#,##0\ &quot;FBu&quot;"/>
    <numFmt numFmtId="173" formatCode="#,##0\ &quot;FBu&quot;;[Red]\-#,##0\ &quot;FBu&quot;"/>
    <numFmt numFmtId="174" formatCode="#,##0.00\ &quot;FBu&quot;;\-#,##0.00\ &quot;FBu&quot;"/>
    <numFmt numFmtId="175" formatCode="#,##0.00\ &quot;FBu&quot;;[Red]\-#,##0.00\ &quot;FBu&quot;"/>
    <numFmt numFmtId="176" formatCode="_-* #,##0\ &quot;FBu&quot;_-;\-* #,##0\ &quot;FBu&quot;_-;_-* &quot;-&quot;\ &quot;FBu&quot;_-;_-@_-"/>
    <numFmt numFmtId="177" formatCode="_-* #,##0\ _F_B_u_-;\-* #,##0\ _F_B_u_-;_-* &quot;-&quot;\ _F_B_u_-;_-@_-"/>
    <numFmt numFmtId="178" formatCode="_-* #,##0.00\ &quot;FBu&quot;_-;\-* #,##0.00\ &quot;FBu&quot;_-;_-* &quot;-&quot;??\ &quot;FBu&quot;_-;_-@_-"/>
    <numFmt numFmtId="179" formatCode="_-* #,##0.00\ _F_B_u_-;\-* #,##0.00\ _F_B_u_-;_-* &quot;-&quot;??\ _F_B_u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General_)"/>
    <numFmt numFmtId="198" formatCode="0.0"/>
    <numFmt numFmtId="199" formatCode="#,##0.0"/>
    <numFmt numFmtId="200" formatCode="0.00_ ;\-0.00\ "/>
    <numFmt numFmtId="201" formatCode="0.0_ ;\-0.0\ "/>
    <numFmt numFmtId="202" formatCode="0.0_)"/>
    <numFmt numFmtId="203" formatCode="_-* #,##0.0\ _F_-;\-* #,##0.0\ _F_-;_-* &quot;-&quot;??\ _F_-;_-@_-"/>
    <numFmt numFmtId="204" formatCode="[$-40C]dddd\ d\ mmmm\ yyyy"/>
    <numFmt numFmtId="205" formatCode="[$-40C]mmmm\-yy;@"/>
    <numFmt numFmtId="206" formatCode="#,##0_);\(#,##0\)"/>
    <numFmt numFmtId="207" formatCode="0_)"/>
    <numFmt numFmtId="208" formatCode="_-* #,##0\ _F_-;\-* #,##0\ _F_-;_-* &quot;-&quot;??\ _F_-;_-@_-"/>
    <numFmt numFmtId="209" formatCode="[$-409]dd\-mmm\-yy;@"/>
    <numFmt numFmtId="210" formatCode="[$-409]mmm\-yy;@"/>
    <numFmt numFmtId="211" formatCode="[$-409]mmmm\-yy;@"/>
    <numFmt numFmtId="212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Calibri"/>
      <family val="2"/>
    </font>
    <font>
      <vertAlign val="superscript"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5">
    <xf numFmtId="196" fontId="0" fillId="0" borderId="0" xfId="0" applyAlignment="1">
      <alignment/>
    </xf>
    <xf numFmtId="196" fontId="0" fillId="0" borderId="10" xfId="0" applyNumberFormat="1" applyFont="1" applyFill="1" applyBorder="1" applyAlignment="1" applyProtection="1">
      <alignment horizontal="fill"/>
      <protection/>
    </xf>
    <xf numFmtId="198" fontId="0" fillId="0" borderId="10" xfId="0" applyNumberFormat="1" applyFont="1" applyFill="1" applyBorder="1" applyAlignment="1" applyProtection="1">
      <alignment horizontal="fill"/>
      <protection/>
    </xf>
    <xf numFmtId="196" fontId="0" fillId="33" borderId="10" xfId="0" applyNumberFormat="1" applyFont="1" applyFill="1" applyBorder="1" applyAlignment="1" applyProtection="1">
      <alignment horizontal="fill"/>
      <protection/>
    </xf>
    <xf numFmtId="199" fontId="0" fillId="0" borderId="10" xfId="0" applyNumberFormat="1" applyFont="1" applyFill="1" applyBorder="1" applyAlignment="1" applyProtection="1">
      <alignment horizontal="fill"/>
      <protection/>
    </xf>
    <xf numFmtId="196" fontId="0" fillId="0" borderId="11" xfId="0" applyNumberFormat="1" applyFont="1" applyFill="1" applyBorder="1" applyAlignment="1" applyProtection="1">
      <alignment horizontal="fill"/>
      <protection/>
    </xf>
    <xf numFmtId="196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6" fontId="0" fillId="33" borderId="0" xfId="0" applyNumberFormat="1" applyFont="1" applyFill="1" applyBorder="1" applyAlignment="1" applyProtection="1">
      <alignment/>
      <protection/>
    </xf>
    <xf numFmtId="199" fontId="0" fillId="0" borderId="0" xfId="0" applyNumberFormat="1" applyFont="1" applyFill="1" applyBorder="1" applyAlignment="1" applyProtection="1">
      <alignment/>
      <protection/>
    </xf>
    <xf numFmtId="196" fontId="7" fillId="0" borderId="12" xfId="0" applyNumberFormat="1" applyFont="1" applyFill="1" applyBorder="1" applyAlignment="1" applyProtection="1">
      <alignment/>
      <protection/>
    </xf>
    <xf numFmtId="196" fontId="7" fillId="0" borderId="0" xfId="0" applyNumberFormat="1" applyFont="1" applyFill="1" applyBorder="1" applyAlignment="1" applyProtection="1">
      <alignment/>
      <protection/>
    </xf>
    <xf numFmtId="196" fontId="0" fillId="0" borderId="13" xfId="0" applyNumberFormat="1" applyFont="1" applyFill="1" applyBorder="1" applyAlignment="1" applyProtection="1">
      <alignment horizontal="right"/>
      <protection/>
    </xf>
    <xf numFmtId="196" fontId="0" fillId="0" borderId="13" xfId="0" applyFont="1" applyFill="1" applyBorder="1" applyAlignment="1">
      <alignment horizontal="right"/>
    </xf>
    <xf numFmtId="196" fontId="0" fillId="0" borderId="13" xfId="0" applyNumberFormat="1" applyFont="1" applyFill="1" applyBorder="1" applyAlignment="1" applyProtection="1" quotePrefix="1">
      <alignment horizontal="right"/>
      <protection/>
    </xf>
    <xf numFmtId="196" fontId="0" fillId="33" borderId="13" xfId="0" applyNumberFormat="1" applyFont="1" applyFill="1" applyBorder="1" applyAlignment="1" applyProtection="1">
      <alignment horizontal="right"/>
      <protection/>
    </xf>
    <xf numFmtId="199" fontId="0" fillId="0" borderId="13" xfId="0" applyNumberFormat="1" applyFont="1" applyFill="1" applyBorder="1" applyAlignment="1" applyProtection="1">
      <alignment horizontal="right"/>
      <protection/>
    </xf>
    <xf numFmtId="205" fontId="0" fillId="0" borderId="13" xfId="0" applyNumberFormat="1" applyFill="1" applyBorder="1" applyAlignment="1" quotePrefix="1">
      <alignment horizontal="left"/>
    </xf>
    <xf numFmtId="199" fontId="0" fillId="0" borderId="13" xfId="0" applyNumberFormat="1" applyFont="1" applyBorder="1" applyAlignment="1" applyProtection="1">
      <alignment/>
      <protection/>
    </xf>
    <xf numFmtId="202" fontId="0" fillId="0" borderId="13" xfId="0" applyNumberFormat="1" applyBorder="1" applyAlignment="1" applyProtection="1" quotePrefix="1">
      <alignment horizontal="left"/>
      <protection/>
    </xf>
    <xf numFmtId="196" fontId="28" fillId="0" borderId="0" xfId="0" applyNumberFormat="1" applyFont="1" applyFill="1" applyBorder="1" applyAlignment="1" applyProtection="1">
      <alignment/>
      <protection/>
    </xf>
    <xf numFmtId="198" fontId="28" fillId="0" borderId="0" xfId="0" applyNumberFormat="1" applyFont="1" applyFill="1" applyBorder="1" applyAlignment="1" applyProtection="1">
      <alignment/>
      <protection/>
    </xf>
    <xf numFmtId="196" fontId="28" fillId="33" borderId="0" xfId="0" applyNumberFormat="1" applyFont="1" applyFill="1" applyBorder="1" applyAlignment="1" applyProtection="1">
      <alignment/>
      <protection/>
    </xf>
    <xf numFmtId="199" fontId="28" fillId="0" borderId="0" xfId="0" applyNumberFormat="1" applyFont="1" applyFill="1" applyBorder="1" applyAlignment="1" applyProtection="1">
      <alignment/>
      <protection/>
    </xf>
    <xf numFmtId="196" fontId="29" fillId="0" borderId="12" xfId="0" applyNumberFormat="1" applyFont="1" applyFill="1" applyBorder="1" applyAlignment="1" applyProtection="1">
      <alignment/>
      <protection/>
    </xf>
    <xf numFmtId="196" fontId="28" fillId="0" borderId="14" xfId="0" applyNumberFormat="1" applyFont="1" applyFill="1" applyBorder="1" applyAlignment="1" applyProtection="1">
      <alignment/>
      <protection/>
    </xf>
    <xf numFmtId="196" fontId="29" fillId="0" borderId="0" xfId="0" applyNumberFormat="1" applyFont="1" applyFill="1" applyBorder="1" applyAlignment="1" applyProtection="1">
      <alignment/>
      <protection/>
    </xf>
    <xf numFmtId="198" fontId="29" fillId="0" borderId="0" xfId="0" applyNumberFormat="1" applyFont="1" applyFill="1" applyBorder="1" applyAlignment="1" applyProtection="1" quotePrefix="1">
      <alignment/>
      <protection/>
    </xf>
    <xf numFmtId="196" fontId="29" fillId="33" borderId="0" xfId="0" applyNumberFormat="1" applyFont="1" applyFill="1" applyBorder="1" applyAlignment="1" applyProtection="1">
      <alignment/>
      <protection/>
    </xf>
    <xf numFmtId="199" fontId="29" fillId="0" borderId="0" xfId="0" applyNumberFormat="1" applyFont="1" applyFill="1" applyBorder="1" applyAlignment="1" applyProtection="1">
      <alignment/>
      <protection/>
    </xf>
    <xf numFmtId="196" fontId="28" fillId="0" borderId="12" xfId="0" applyNumberFormat="1" applyFont="1" applyFill="1" applyBorder="1" applyAlignment="1" applyProtection="1">
      <alignment/>
      <protection/>
    </xf>
    <xf numFmtId="205" fontId="28" fillId="0" borderId="13" xfId="0" applyNumberFormat="1" applyFont="1" applyFill="1" applyBorder="1" applyAlignment="1" quotePrefix="1">
      <alignment horizontal="left"/>
    </xf>
    <xf numFmtId="196" fontId="28" fillId="0" borderId="13" xfId="0" applyNumberFormat="1" applyFont="1" applyFill="1" applyBorder="1" applyAlignment="1" applyProtection="1">
      <alignment horizontal="right"/>
      <protection/>
    </xf>
    <xf numFmtId="196" fontId="28" fillId="0" borderId="13" xfId="0" applyFont="1" applyFill="1" applyBorder="1" applyAlignment="1">
      <alignment horizontal="right"/>
    </xf>
    <xf numFmtId="199" fontId="28" fillId="0" borderId="13" xfId="0" applyNumberFormat="1" applyFont="1" applyBorder="1" applyAlignment="1" applyProtection="1">
      <alignment/>
      <protection/>
    </xf>
    <xf numFmtId="196" fontId="28" fillId="0" borderId="13" xfId="0" applyNumberFormat="1" applyFont="1" applyFill="1" applyBorder="1" applyAlignment="1" applyProtection="1" quotePrefix="1">
      <alignment horizontal="right"/>
      <protection/>
    </xf>
    <xf numFmtId="196" fontId="28" fillId="33" borderId="13" xfId="0" applyNumberFormat="1" applyFont="1" applyFill="1" applyBorder="1" applyAlignment="1" applyProtection="1">
      <alignment horizontal="right"/>
      <protection/>
    </xf>
    <xf numFmtId="201" fontId="28" fillId="0" borderId="13" xfId="0" applyNumberFormat="1" applyFont="1" applyFill="1" applyBorder="1" applyAlignment="1" applyProtection="1">
      <alignment horizontal="right"/>
      <protection/>
    </xf>
    <xf numFmtId="199" fontId="28" fillId="0" borderId="13" xfId="0" applyNumberFormat="1" applyFont="1" applyFill="1" applyBorder="1" applyAlignment="1" applyProtection="1">
      <alignment horizontal="right"/>
      <protection/>
    </xf>
    <xf numFmtId="202" fontId="28" fillId="0" borderId="13" xfId="0" applyNumberFormat="1" applyFont="1" applyBorder="1" applyAlignment="1" applyProtection="1" quotePrefix="1">
      <alignment horizontal="left"/>
      <protection/>
    </xf>
    <xf numFmtId="196" fontId="28" fillId="0" borderId="0" xfId="0" applyFont="1" applyAlignment="1">
      <alignment/>
    </xf>
    <xf numFmtId="196" fontId="56" fillId="0" borderId="0" xfId="0" applyFont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34" borderId="15" xfId="0" applyFont="1" applyFill="1" applyBorder="1" applyAlignment="1">
      <alignment/>
    </xf>
    <xf numFmtId="0" fontId="60" fillId="6" borderId="0" xfId="44" applyFont="1" applyFill="1" applyAlignment="1" applyProtection="1">
      <alignment/>
      <protection/>
    </xf>
    <xf numFmtId="196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96" fontId="61" fillId="6" borderId="16" xfId="0" applyFont="1" applyFill="1" applyBorder="1" applyAlignment="1">
      <alignment/>
    </xf>
    <xf numFmtId="196" fontId="56" fillId="6" borderId="16" xfId="0" applyFont="1" applyFill="1" applyBorder="1" applyAlignment="1">
      <alignment/>
    </xf>
    <xf numFmtId="209" fontId="56" fillId="0" borderId="0" xfId="0" applyNumberFormat="1" applyFont="1" applyAlignment="1">
      <alignment horizontal="left"/>
    </xf>
    <xf numFmtId="0" fontId="5" fillId="0" borderId="0" xfId="44" applyAlignment="1" applyProtection="1">
      <alignment/>
      <protection/>
    </xf>
    <xf numFmtId="0" fontId="5" fillId="6" borderId="0" xfId="44" applyFill="1" applyAlignment="1" applyProtection="1">
      <alignment/>
      <protection/>
    </xf>
    <xf numFmtId="196" fontId="5" fillId="0" borderId="14" xfId="44" applyNumberFormat="1" applyFill="1" applyBorder="1" applyAlignment="1" applyProtection="1">
      <alignment horizontal="left"/>
      <protection/>
    </xf>
    <xf numFmtId="196" fontId="7" fillId="0" borderId="17" xfId="0" applyNumberFormat="1" applyFont="1" applyFill="1" applyBorder="1" applyAlignment="1" applyProtection="1">
      <alignment/>
      <protection/>
    </xf>
    <xf numFmtId="196" fontId="5" fillId="0" borderId="18" xfId="44" applyNumberFormat="1" applyFill="1" applyBorder="1" applyAlignment="1" applyProtection="1">
      <alignment/>
      <protection/>
    </xf>
    <xf numFmtId="196" fontId="56" fillId="0" borderId="0" xfId="0" applyFont="1" applyBorder="1" applyAlignment="1">
      <alignment/>
    </xf>
    <xf numFmtId="196" fontId="0" fillId="0" borderId="0" xfId="0" applyBorder="1" applyAlignment="1">
      <alignment/>
    </xf>
    <xf numFmtId="196" fontId="8" fillId="0" borderId="0" xfId="0" applyFont="1" applyAlignment="1">
      <alignment horizontal="justify" vertical="center"/>
    </xf>
    <xf numFmtId="210" fontId="56" fillId="6" borderId="0" xfId="0" applyNumberFormat="1" applyFont="1" applyFill="1" applyAlignment="1">
      <alignment horizontal="right"/>
    </xf>
    <xf numFmtId="196" fontId="36" fillId="0" borderId="13" xfId="0" applyNumberFormat="1" applyFont="1" applyFill="1" applyBorder="1" applyAlignment="1" applyProtection="1">
      <alignment horizontal="center"/>
      <protection/>
    </xf>
    <xf numFmtId="196" fontId="37" fillId="0" borderId="0" xfId="0" applyFont="1" applyAlignment="1">
      <alignment/>
    </xf>
    <xf numFmtId="196" fontId="28" fillId="0" borderId="0" xfId="0" applyFont="1" applyFill="1" applyAlignment="1">
      <alignment/>
    </xf>
    <xf numFmtId="205" fontId="37" fillId="0" borderId="13" xfId="0" applyNumberFormat="1" applyFont="1" applyFill="1" applyBorder="1" applyAlignment="1" quotePrefix="1">
      <alignment horizontal="left"/>
    </xf>
    <xf numFmtId="196" fontId="37" fillId="0" borderId="13" xfId="0" applyNumberFormat="1" applyFont="1" applyFill="1" applyBorder="1" applyAlignment="1" applyProtection="1">
      <alignment horizontal="right"/>
      <protection/>
    </xf>
    <xf numFmtId="199" fontId="37" fillId="0" borderId="13" xfId="0" applyNumberFormat="1" applyFont="1" applyFill="1" applyBorder="1" applyAlignment="1" applyProtection="1" quotePrefix="1">
      <alignment horizontal="right"/>
      <protection/>
    </xf>
    <xf numFmtId="196" fontId="37" fillId="0" borderId="13" xfId="0" applyFont="1" applyFill="1" applyBorder="1" applyAlignment="1">
      <alignment horizontal="right"/>
    </xf>
    <xf numFmtId="199" fontId="37" fillId="0" borderId="13" xfId="0" applyNumberFormat="1" applyFont="1" applyBorder="1" applyAlignment="1">
      <alignment/>
    </xf>
    <xf numFmtId="196" fontId="37" fillId="0" borderId="13" xfId="0" applyNumberFormat="1" applyFont="1" applyFill="1" applyBorder="1" applyAlignment="1" applyProtection="1" quotePrefix="1">
      <alignment horizontal="right"/>
      <protection/>
    </xf>
    <xf numFmtId="196" fontId="37" fillId="33" borderId="13" xfId="0" applyNumberFormat="1" applyFont="1" applyFill="1" applyBorder="1" applyAlignment="1" applyProtection="1">
      <alignment horizontal="right"/>
      <protection/>
    </xf>
    <xf numFmtId="201" fontId="37" fillId="0" borderId="13" xfId="0" applyNumberFormat="1" applyFont="1" applyFill="1" applyBorder="1" applyAlignment="1" applyProtection="1">
      <alignment horizontal="right"/>
      <protection/>
    </xf>
    <xf numFmtId="199" fontId="37" fillId="0" borderId="13" xfId="0" applyNumberFormat="1" applyFont="1" applyFill="1" applyBorder="1" applyAlignment="1" applyProtection="1">
      <alignment horizontal="right"/>
      <protection/>
    </xf>
    <xf numFmtId="199" fontId="37" fillId="0" borderId="13" xfId="0" applyNumberFormat="1" applyFont="1" applyBorder="1" applyAlignment="1" applyProtection="1">
      <alignment/>
      <protection/>
    </xf>
    <xf numFmtId="196" fontId="29" fillId="35" borderId="13" xfId="0" applyNumberFormat="1" applyFont="1" applyFill="1" applyBorder="1" applyAlignment="1" applyProtection="1">
      <alignment vertical="center" wrapText="1"/>
      <protection/>
    </xf>
    <xf numFmtId="196" fontId="29" fillId="35" borderId="13" xfId="0" applyNumberFormat="1" applyFont="1" applyFill="1" applyBorder="1" applyAlignment="1" applyProtection="1">
      <alignment horizontal="center" vertical="center" wrapText="1"/>
      <protection/>
    </xf>
    <xf numFmtId="198" fontId="29" fillId="35" borderId="13" xfId="0" applyNumberFormat="1" applyFont="1" applyFill="1" applyBorder="1" applyAlignment="1" applyProtection="1">
      <alignment vertical="center" wrapText="1"/>
      <protection/>
    </xf>
    <xf numFmtId="199" fontId="29" fillId="35" borderId="13" xfId="0" applyNumberFormat="1" applyFont="1" applyFill="1" applyBorder="1" applyAlignment="1" applyProtection="1">
      <alignment vertical="center" wrapText="1"/>
      <protection/>
    </xf>
    <xf numFmtId="196" fontId="29" fillId="35" borderId="13" xfId="0" applyNumberFormat="1" applyFont="1" applyFill="1" applyBorder="1" applyAlignment="1" applyProtection="1">
      <alignment vertical="center"/>
      <protection/>
    </xf>
    <xf numFmtId="196" fontId="37" fillId="0" borderId="13" xfId="0" applyNumberFormat="1" applyFont="1" applyFill="1" applyBorder="1" applyAlignment="1" applyProtection="1">
      <alignment horizontal="center"/>
      <protection/>
    </xf>
    <xf numFmtId="198" fontId="37" fillId="0" borderId="13" xfId="0" applyNumberFormat="1" applyFont="1" applyFill="1" applyBorder="1" applyAlignment="1" applyProtection="1">
      <alignment horizontal="center"/>
      <protection/>
    </xf>
    <xf numFmtId="196" fontId="37" fillId="33" borderId="13" xfId="0" applyNumberFormat="1" applyFont="1" applyFill="1" applyBorder="1" applyAlignment="1" applyProtection="1">
      <alignment horizontal="center"/>
      <protection/>
    </xf>
    <xf numFmtId="199" fontId="37" fillId="0" borderId="13" xfId="0" applyNumberFormat="1" applyFont="1" applyFill="1" applyBorder="1" applyAlignment="1" applyProtection="1">
      <alignment horizontal="center"/>
      <protection/>
    </xf>
    <xf numFmtId="0" fontId="37" fillId="0" borderId="13" xfId="0" applyNumberFormat="1" applyFont="1" applyFill="1" applyBorder="1" applyAlignment="1" quotePrefix="1">
      <alignment horizontal="center" vertical="center"/>
    </xf>
    <xf numFmtId="196" fontId="36" fillId="0" borderId="0" xfId="0" applyFont="1" applyFill="1" applyBorder="1" applyAlignment="1">
      <alignment horizontal="left"/>
    </xf>
    <xf numFmtId="196" fontId="62" fillId="0" borderId="0" xfId="0" applyFont="1" applyBorder="1" applyAlignment="1">
      <alignment horizontal="center" wrapText="1"/>
    </xf>
    <xf numFmtId="196" fontId="56" fillId="6" borderId="0" xfId="0" applyFont="1" applyFill="1" applyAlignment="1">
      <alignment wrapText="1"/>
    </xf>
    <xf numFmtId="205" fontId="37" fillId="0" borderId="19" xfId="0" applyNumberFormat="1" applyFont="1" applyFill="1" applyBorder="1" applyAlignment="1" quotePrefix="1">
      <alignment horizontal="left"/>
    </xf>
    <xf numFmtId="196" fontId="37" fillId="0" borderId="20" xfId="0" applyNumberFormat="1" applyFont="1" applyFill="1" applyBorder="1" applyAlignment="1" applyProtection="1">
      <alignment horizontal="right"/>
      <protection/>
    </xf>
    <xf numFmtId="196" fontId="37" fillId="0" borderId="20" xfId="0" applyFont="1" applyFill="1" applyBorder="1" applyAlignment="1">
      <alignment horizontal="right"/>
    </xf>
    <xf numFmtId="199" fontId="37" fillId="0" borderId="20" xfId="0" applyNumberFormat="1" applyFont="1" applyBorder="1" applyAlignment="1" applyProtection="1">
      <alignment/>
      <protection/>
    </xf>
    <xf numFmtId="196" fontId="37" fillId="0" borderId="20" xfId="0" applyNumberFormat="1" applyFont="1" applyFill="1" applyBorder="1" applyAlignment="1" applyProtection="1" quotePrefix="1">
      <alignment horizontal="right"/>
      <protection/>
    </xf>
    <xf numFmtId="196" fontId="37" fillId="33" borderId="20" xfId="0" applyNumberFormat="1" applyFont="1" applyFill="1" applyBorder="1" applyAlignment="1" applyProtection="1">
      <alignment horizontal="right"/>
      <protection/>
    </xf>
    <xf numFmtId="199" fontId="37" fillId="0" borderId="20" xfId="0" applyNumberFormat="1" applyFont="1" applyFill="1" applyBorder="1" applyAlignment="1" applyProtection="1">
      <alignment horizontal="right"/>
      <protection/>
    </xf>
    <xf numFmtId="196" fontId="37" fillId="0" borderId="21" xfId="0" applyNumberFormat="1" applyFont="1" applyFill="1" applyBorder="1" applyAlignment="1" applyProtection="1">
      <alignment horizontal="right"/>
      <protection/>
    </xf>
    <xf numFmtId="196" fontId="36" fillId="0" borderId="19" xfId="0" applyFont="1" applyFill="1" applyBorder="1" applyAlignment="1">
      <alignment horizontal="left"/>
    </xf>
    <xf numFmtId="196" fontId="36" fillId="0" borderId="20" xfId="0" applyFont="1" applyFill="1" applyBorder="1" applyAlignment="1">
      <alignment horizontal="left"/>
    </xf>
    <xf numFmtId="196" fontId="36" fillId="0" borderId="21" xfId="0" applyFont="1" applyFill="1" applyBorder="1" applyAlignment="1">
      <alignment horizontal="left"/>
    </xf>
    <xf numFmtId="196" fontId="29" fillId="0" borderId="14" xfId="0" applyNumberFormat="1" applyFont="1" applyFill="1" applyBorder="1" applyAlignment="1" applyProtection="1">
      <alignment horizontal="center"/>
      <protection/>
    </xf>
    <xf numFmtId="196" fontId="29" fillId="0" borderId="0" xfId="0" applyNumberFormat="1" applyFont="1" applyFill="1" applyBorder="1" applyAlignment="1" applyProtection="1">
      <alignment horizontal="center"/>
      <protection/>
    </xf>
    <xf numFmtId="196" fontId="29" fillId="0" borderId="12" xfId="0" applyNumberFormat="1" applyFont="1" applyFill="1" applyBorder="1" applyAlignment="1" applyProtection="1">
      <alignment horizontal="center"/>
      <protection/>
    </xf>
    <xf numFmtId="196" fontId="29" fillId="35" borderId="13" xfId="0" applyNumberFormat="1" applyFont="1" applyFill="1" applyBorder="1" applyAlignment="1" applyProtection="1">
      <alignment horizontal="center" vertical="center"/>
      <protection/>
    </xf>
    <xf numFmtId="196" fontId="29" fillId="35" borderId="22" xfId="0" applyNumberFormat="1" applyFont="1" applyFill="1" applyBorder="1" applyAlignment="1" applyProtection="1">
      <alignment horizontal="center" vertical="center"/>
      <protection/>
    </xf>
    <xf numFmtId="196" fontId="29" fillId="35" borderId="23" xfId="0" applyNumberFormat="1" applyFont="1" applyFill="1" applyBorder="1" applyAlignment="1" applyProtection="1">
      <alignment horizontal="center" vertical="center"/>
      <protection/>
    </xf>
    <xf numFmtId="196" fontId="29" fillId="35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0</xdr:row>
      <xdr:rowOff>123825</xdr:rowOff>
    </xdr:from>
    <xdr:to>
      <xdr:col>1</xdr:col>
      <xdr:colOff>1276350</xdr:colOff>
      <xdr:row>2</xdr:row>
      <xdr:rowOff>190500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6"/>
  <sheetViews>
    <sheetView showGridLines="0" tabSelected="1" zoomScalePageLayoutView="0" workbookViewId="0" topLeftCell="D1">
      <selection activeCell="E14" sqref="E14"/>
    </sheetView>
  </sheetViews>
  <sheetFormatPr defaultColWidth="8.88671875" defaultRowHeight="15.75"/>
  <cols>
    <col min="1" max="1" width="4.21484375" style="41" customWidth="1"/>
    <col min="2" max="2" width="68.6640625" style="41" bestFit="1" customWidth="1"/>
    <col min="3" max="3" width="46.77734375" style="41" customWidth="1"/>
    <col min="4" max="4" width="17.10546875" style="41" bestFit="1" customWidth="1"/>
    <col min="5" max="5" width="25.99609375" style="41" customWidth="1"/>
    <col min="6" max="16384" width="8.88671875" style="41" customWidth="1"/>
  </cols>
  <sheetData>
    <row r="2" ht="15.75">
      <c r="B2" s="59" t="s">
        <v>36</v>
      </c>
    </row>
    <row r="3" spans="2:3" ht="15.75">
      <c r="B3" s="59" t="s">
        <v>37</v>
      </c>
      <c r="C3"/>
    </row>
    <row r="4" ht="15.75">
      <c r="B4" s="59" t="s">
        <v>38</v>
      </c>
    </row>
    <row r="5" ht="15.75">
      <c r="B5" s="59" t="s">
        <v>39</v>
      </c>
    </row>
    <row r="7" ht="18.75">
      <c r="B7" s="42" t="s">
        <v>22</v>
      </c>
    </row>
    <row r="8" ht="18.75">
      <c r="B8" s="43" t="s">
        <v>54</v>
      </c>
    </row>
    <row r="10" ht="15.75">
      <c r="B10" s="41" t="s">
        <v>23</v>
      </c>
    </row>
    <row r="11" spans="2:5" ht="16.5" thickBot="1">
      <c r="B11" s="44" t="s">
        <v>24</v>
      </c>
      <c r="C11" s="44" t="s">
        <v>25</v>
      </c>
      <c r="D11" s="44" t="s">
        <v>26</v>
      </c>
      <c r="E11" s="44" t="s">
        <v>53</v>
      </c>
    </row>
    <row r="12" spans="2:5" ht="31.5">
      <c r="B12" s="53" t="s">
        <v>27</v>
      </c>
      <c r="C12" s="86" t="s">
        <v>56</v>
      </c>
      <c r="D12" s="46" t="s">
        <v>27</v>
      </c>
      <c r="E12" s="60">
        <v>45292</v>
      </c>
    </row>
    <row r="13" spans="2:5" ht="31.5">
      <c r="B13" s="53" t="s">
        <v>28</v>
      </c>
      <c r="C13" s="86" t="s">
        <v>55</v>
      </c>
      <c r="D13" s="46" t="s">
        <v>28</v>
      </c>
      <c r="E13" s="48" t="s">
        <v>84</v>
      </c>
    </row>
    <row r="14" spans="2:5" ht="31.5">
      <c r="B14" s="45" t="s">
        <v>29</v>
      </c>
      <c r="C14" s="86" t="s">
        <v>57</v>
      </c>
      <c r="D14" s="46" t="s">
        <v>29</v>
      </c>
      <c r="E14" s="47" t="s">
        <v>85</v>
      </c>
    </row>
    <row r="15" spans="2:5" ht="16.5" thickBot="1">
      <c r="B15" s="49"/>
      <c r="C15" s="50"/>
      <c r="D15" s="50"/>
      <c r="E15" s="50"/>
    </row>
    <row r="17" spans="2:3" ht="15.75">
      <c r="B17" s="41" t="s">
        <v>30</v>
      </c>
      <c r="C17" s="51"/>
    </row>
    <row r="18" spans="2:3" ht="15.75">
      <c r="B18" s="41" t="s">
        <v>31</v>
      </c>
      <c r="C18" s="51"/>
    </row>
    <row r="20" spans="2:3" ht="15.75">
      <c r="B20" s="41" t="s">
        <v>32</v>
      </c>
      <c r="C20" s="41" t="s">
        <v>59</v>
      </c>
    </row>
    <row r="21" spans="2:3" ht="15.75">
      <c r="B21" s="41" t="s">
        <v>33</v>
      </c>
      <c r="C21" s="52" t="s">
        <v>34</v>
      </c>
    </row>
    <row r="24" spans="1:256" s="58" customFormat="1" ht="63">
      <c r="A24" s="57"/>
      <c r="B24" s="85" t="s">
        <v>58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pans="1:256" s="58" customFormat="1" ht="15.75">
      <c r="A25" s="57"/>
      <c r="B25" s="61" t="s">
        <v>1</v>
      </c>
      <c r="C25" s="11"/>
      <c r="D25" s="11"/>
      <c r="E25" s="11"/>
      <c r="F25" s="11"/>
      <c r="G25" s="11"/>
      <c r="H25" s="11"/>
      <c r="I25" s="11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pans="1:256" s="58" customFormat="1" ht="15.75">
      <c r="A26" s="57"/>
      <c r="B26" s="79" t="s">
        <v>51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pans="1:256" s="58" customFormat="1" ht="15.75">
      <c r="A27" s="57"/>
      <c r="B27" s="79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56" s="58" customFormat="1" ht="15.75">
      <c r="A28" s="57"/>
      <c r="B28" s="79" t="s">
        <v>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pans="1:256" s="58" customFormat="1" ht="15.75">
      <c r="A29" s="57"/>
      <c r="B29" s="79" t="s">
        <v>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pans="1:256" s="58" customFormat="1" ht="15.75">
      <c r="A30" s="57"/>
      <c r="B30" s="79" t="s">
        <v>52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pans="1:256" s="58" customFormat="1" ht="15.75">
      <c r="A31" s="57"/>
      <c r="B31" s="79" t="s">
        <v>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58" customFormat="1" ht="15.75">
      <c r="A32" s="57"/>
      <c r="B32" s="79" t="s">
        <v>44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58" customFormat="1" ht="15.75">
      <c r="A33" s="57"/>
      <c r="B33" s="61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58" customFormat="1" ht="15.75">
      <c r="A34" s="57"/>
      <c r="B34" s="80" t="s">
        <v>10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58" customFormat="1" ht="15.75">
      <c r="A35" s="57"/>
      <c r="B35" s="79" t="s">
        <v>11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58" customFormat="1" ht="15.75">
      <c r="A36" s="57"/>
      <c r="B36" s="79" t="s">
        <v>12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256" s="58" customFormat="1" ht="15.75">
      <c r="A37" s="57"/>
      <c r="B37" s="79" t="s">
        <v>13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s="58" customFormat="1" ht="15.75">
      <c r="A38" s="57"/>
      <c r="B38" s="79" t="s">
        <v>14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s="58" customFormat="1" ht="15.75">
      <c r="A39" s="57"/>
      <c r="B39" s="81" t="s">
        <v>15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s="58" customFormat="1" ht="15.75">
      <c r="A40" s="57"/>
      <c r="B40" s="79" t="s">
        <v>16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s="58" customFormat="1" ht="15.75">
      <c r="A41" s="57"/>
      <c r="B41" s="82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s="58" customFormat="1" ht="15.75">
      <c r="A42" s="57"/>
      <c r="B42" s="79" t="s">
        <v>18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pans="1:256" s="58" customFormat="1" ht="15.75">
      <c r="A43" s="57"/>
      <c r="B43" s="61" t="s">
        <v>19</v>
      </c>
      <c r="C43" s="11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8" customFormat="1" ht="15.75">
      <c r="A44" s="57"/>
      <c r="B44" s="61" t="s">
        <v>20</v>
      </c>
      <c r="C44" s="11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8" customFormat="1" ht="15.7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8" customFormat="1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2"/>
  <sheetViews>
    <sheetView zoomScale="80" zoomScaleNormal="80" zoomScalePageLayoutView="0" workbookViewId="0" topLeftCell="A1">
      <pane xSplit="1" ySplit="6" topLeftCell="B17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86" activeCellId="4" sqref="B198:U198 B195:U195 B192:U192 B189:U189 B186:U186"/>
    </sheetView>
  </sheetViews>
  <sheetFormatPr defaultColWidth="8.88671875" defaultRowHeight="15.75"/>
  <cols>
    <col min="1" max="1" width="25.6640625" style="0" customWidth="1"/>
    <col min="2" max="2" width="20.5546875" style="0" customWidth="1"/>
    <col min="3" max="3" width="12.5546875" style="0" customWidth="1"/>
    <col min="4" max="4" width="13.88671875" style="0" customWidth="1"/>
    <col min="5" max="5" width="14.6640625" style="0" customWidth="1"/>
    <col min="6" max="6" width="24.3359375" style="0" customWidth="1"/>
    <col min="7" max="7" width="15.21484375" style="0" customWidth="1"/>
    <col min="8" max="8" width="9.3359375" style="0" customWidth="1"/>
    <col min="9" max="9" width="10.5546875" style="0" bestFit="1" customWidth="1"/>
    <col min="10" max="10" width="12.77734375" style="0" customWidth="1"/>
    <col min="11" max="11" width="12.99609375" style="0" customWidth="1"/>
    <col min="12" max="12" width="13.5546875" style="0" customWidth="1"/>
    <col min="13" max="13" width="15.88671875" style="0" customWidth="1"/>
    <col min="14" max="14" width="14.4453125" style="0" customWidth="1"/>
    <col min="15" max="15" width="16.21484375" style="0" customWidth="1"/>
    <col min="16" max="16" width="13.3359375" style="0" customWidth="1"/>
    <col min="17" max="17" width="11.5546875" style="0" customWidth="1"/>
    <col min="18" max="18" width="14.77734375" style="0" customWidth="1"/>
    <col min="19" max="19" width="14.10546875" style="0" customWidth="1"/>
    <col min="20" max="20" width="26.99609375" style="0" customWidth="1"/>
    <col min="21" max="21" width="18.77734375" style="0" bestFit="1" customWidth="1"/>
  </cols>
  <sheetData>
    <row r="1" spans="1:21" ht="15.75">
      <c r="A1" s="56" t="s">
        <v>35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3"/>
      <c r="P1" s="1"/>
      <c r="Q1" s="4"/>
      <c r="R1" s="1"/>
      <c r="S1" s="1"/>
      <c r="T1" s="1"/>
      <c r="U1" s="5"/>
    </row>
    <row r="2" spans="1:21" ht="15.75">
      <c r="A2" s="55" t="s">
        <v>0</v>
      </c>
      <c r="B2" s="6"/>
      <c r="C2" s="6"/>
      <c r="D2" s="6"/>
      <c r="E2" s="6"/>
      <c r="F2" s="6"/>
      <c r="G2" s="6"/>
      <c r="H2" s="6"/>
      <c r="I2" s="6"/>
      <c r="J2" s="7"/>
      <c r="K2" s="6"/>
      <c r="L2" s="6"/>
      <c r="M2" s="6"/>
      <c r="N2" s="6"/>
      <c r="O2" s="8"/>
      <c r="P2" s="6"/>
      <c r="Q2" s="9"/>
      <c r="R2" s="6"/>
      <c r="S2" s="6"/>
      <c r="T2" s="6"/>
      <c r="U2" s="10" t="s">
        <v>60</v>
      </c>
    </row>
    <row r="3" spans="1:21" s="40" customFormat="1" ht="18.75">
      <c r="A3" s="98" t="s">
        <v>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100"/>
    </row>
    <row r="4" spans="1:21" s="40" customFormat="1" ht="18.75">
      <c r="A4" s="25"/>
      <c r="B4" s="20"/>
      <c r="C4" s="20"/>
      <c r="D4" s="20"/>
      <c r="E4" s="26"/>
      <c r="F4" s="20"/>
      <c r="G4" s="20"/>
      <c r="H4" s="20"/>
      <c r="I4" s="20"/>
      <c r="J4" s="27"/>
      <c r="K4" s="26"/>
      <c r="L4" s="26"/>
      <c r="M4" s="26"/>
      <c r="N4" s="26"/>
      <c r="O4" s="28"/>
      <c r="P4" s="26"/>
      <c r="Q4" s="29"/>
      <c r="R4" s="26"/>
      <c r="S4" s="26"/>
      <c r="T4" s="20"/>
      <c r="U4" s="30"/>
    </row>
    <row r="5" spans="1:21" s="63" customFormat="1" ht="18.75">
      <c r="A5" s="102" t="s">
        <v>43</v>
      </c>
      <c r="B5" s="101" t="s">
        <v>1</v>
      </c>
      <c r="C5" s="101"/>
      <c r="D5" s="101"/>
      <c r="E5" s="101"/>
      <c r="F5" s="101"/>
      <c r="G5" s="101"/>
      <c r="H5" s="101"/>
      <c r="I5" s="101"/>
      <c r="J5" s="101" t="s">
        <v>2</v>
      </c>
      <c r="K5" s="101"/>
      <c r="L5" s="101"/>
      <c r="M5" s="101"/>
      <c r="N5" s="101"/>
      <c r="O5" s="101"/>
      <c r="P5" s="101"/>
      <c r="Q5" s="101"/>
      <c r="R5" s="101"/>
      <c r="S5" s="101"/>
      <c r="T5" s="101" t="s">
        <v>19</v>
      </c>
      <c r="U5" s="101" t="s">
        <v>20</v>
      </c>
    </row>
    <row r="6" spans="1:21" s="40" customFormat="1" ht="56.25">
      <c r="A6" s="103"/>
      <c r="B6" s="74" t="s">
        <v>47</v>
      </c>
      <c r="C6" s="74" t="s">
        <v>41</v>
      </c>
      <c r="D6" s="75" t="s">
        <v>42</v>
      </c>
      <c r="E6" s="74" t="s">
        <v>46</v>
      </c>
      <c r="F6" s="75" t="s">
        <v>8</v>
      </c>
      <c r="G6" s="75" t="s">
        <v>9</v>
      </c>
      <c r="H6" s="74" t="s">
        <v>45</v>
      </c>
      <c r="I6" s="74" t="s">
        <v>21</v>
      </c>
      <c r="J6" s="76" t="s">
        <v>10</v>
      </c>
      <c r="K6" s="74" t="s">
        <v>11</v>
      </c>
      <c r="L6" s="74" t="s">
        <v>12</v>
      </c>
      <c r="M6" s="75" t="s">
        <v>48</v>
      </c>
      <c r="N6" s="75" t="s">
        <v>14</v>
      </c>
      <c r="O6" s="75" t="s">
        <v>15</v>
      </c>
      <c r="P6" s="74" t="s">
        <v>16</v>
      </c>
      <c r="Q6" s="77" t="s">
        <v>17</v>
      </c>
      <c r="R6" s="74" t="s">
        <v>18</v>
      </c>
      <c r="S6" s="78" t="s">
        <v>21</v>
      </c>
      <c r="T6" s="101"/>
      <c r="U6" s="101"/>
    </row>
    <row r="7" spans="1:21" s="62" customFormat="1" ht="15.75">
      <c r="A7" s="64">
        <v>39448</v>
      </c>
      <c r="B7" s="65">
        <v>87847.1</v>
      </c>
      <c r="C7" s="65">
        <v>21116.2</v>
      </c>
      <c r="D7" s="66" t="s">
        <v>4</v>
      </c>
      <c r="E7" s="65">
        <v>751.6999999999999</v>
      </c>
      <c r="F7" s="65">
        <v>1538.8</v>
      </c>
      <c r="G7" s="65">
        <v>459</v>
      </c>
      <c r="H7" s="67">
        <v>2177.2</v>
      </c>
      <c r="I7" s="65">
        <f aca="true" t="shared" si="0" ref="I7:I38">SUM(B7:H7)</f>
        <v>113890</v>
      </c>
      <c r="J7" s="68">
        <v>71000.09999999998</v>
      </c>
      <c r="K7" s="65">
        <v>95478.1</v>
      </c>
      <c r="L7" s="69">
        <v>1804</v>
      </c>
      <c r="M7" s="65">
        <v>380.9</v>
      </c>
      <c r="N7" s="65">
        <v>25</v>
      </c>
      <c r="O7" s="70" t="s">
        <v>4</v>
      </c>
      <c r="P7" s="65">
        <v>3815.5</v>
      </c>
      <c r="Q7" s="71" t="s">
        <v>4</v>
      </c>
      <c r="R7" s="72">
        <v>-58613.59999999999</v>
      </c>
      <c r="S7" s="65">
        <f aca="true" t="shared" si="1" ref="S7:S38">SUM(J7:R7)</f>
        <v>113889.99999999999</v>
      </c>
      <c r="T7" s="65">
        <v>365559.8</v>
      </c>
      <c r="U7" s="65">
        <f aca="true" t="shared" si="2" ref="U7:U38">T7/I7</f>
        <v>3.2097620511019405</v>
      </c>
    </row>
    <row r="8" spans="1:21" s="62" customFormat="1" ht="15.75">
      <c r="A8" s="64">
        <v>39479</v>
      </c>
      <c r="B8" s="65">
        <v>88984.4</v>
      </c>
      <c r="C8" s="65">
        <v>19977.3</v>
      </c>
      <c r="D8" s="66" t="s">
        <v>4</v>
      </c>
      <c r="E8" s="65">
        <v>1824.2999999999997</v>
      </c>
      <c r="F8" s="65">
        <v>1165.7</v>
      </c>
      <c r="G8" s="65">
        <v>398.2</v>
      </c>
      <c r="H8" s="67">
        <v>2259.2999999999997</v>
      </c>
      <c r="I8" s="65">
        <f t="shared" si="0"/>
        <v>114609.2</v>
      </c>
      <c r="J8" s="68">
        <v>62812.29999999999</v>
      </c>
      <c r="K8" s="65">
        <v>105260.5</v>
      </c>
      <c r="L8" s="69">
        <v>1000</v>
      </c>
      <c r="M8" s="65">
        <v>380.9</v>
      </c>
      <c r="N8" s="65">
        <v>25</v>
      </c>
      <c r="O8" s="70" t="s">
        <v>4</v>
      </c>
      <c r="P8" s="65">
        <v>3781.2999999999997</v>
      </c>
      <c r="Q8" s="71" t="s">
        <v>4</v>
      </c>
      <c r="R8" s="72">
        <v>-58650.8</v>
      </c>
      <c r="S8" s="65">
        <f t="shared" si="1"/>
        <v>114609.19999999997</v>
      </c>
      <c r="T8" s="65">
        <v>378747.69999999995</v>
      </c>
      <c r="U8" s="65">
        <f t="shared" si="2"/>
        <v>3.3046884543300186</v>
      </c>
    </row>
    <row r="9" spans="1:21" s="62" customFormat="1" ht="15.75">
      <c r="A9" s="64">
        <v>39508</v>
      </c>
      <c r="B9" s="65">
        <v>89739.6</v>
      </c>
      <c r="C9" s="65">
        <v>23461.300000000003</v>
      </c>
      <c r="D9" s="66" t="s">
        <v>4</v>
      </c>
      <c r="E9" s="65">
        <v>1391.6999999999998</v>
      </c>
      <c r="F9" s="65">
        <v>1864.2</v>
      </c>
      <c r="G9" s="65">
        <v>340.6</v>
      </c>
      <c r="H9" s="67">
        <v>2050.2999999999997</v>
      </c>
      <c r="I9" s="65">
        <f t="shared" si="0"/>
        <v>118847.70000000001</v>
      </c>
      <c r="J9" s="68">
        <v>60403.49999999994</v>
      </c>
      <c r="K9" s="65">
        <v>107776.49999999999</v>
      </c>
      <c r="L9" s="69">
        <v>1000</v>
      </c>
      <c r="M9" s="65">
        <v>380.9</v>
      </c>
      <c r="N9" s="65">
        <v>25</v>
      </c>
      <c r="O9" s="70" t="s">
        <v>4</v>
      </c>
      <c r="P9" s="65">
        <v>3931.7999999999997</v>
      </c>
      <c r="Q9" s="71">
        <v>-3000</v>
      </c>
      <c r="R9" s="72">
        <v>-51669.99999999999</v>
      </c>
      <c r="S9" s="65">
        <f t="shared" si="1"/>
        <v>118847.69999999992</v>
      </c>
      <c r="T9" s="65">
        <v>398263.2</v>
      </c>
      <c r="U9" s="65">
        <f t="shared" si="2"/>
        <v>3.3510383457147253</v>
      </c>
    </row>
    <row r="10" spans="1:21" s="62" customFormat="1" ht="15.75">
      <c r="A10" s="64">
        <v>39539</v>
      </c>
      <c r="B10" s="65">
        <v>98410.2</v>
      </c>
      <c r="C10" s="65">
        <v>22480</v>
      </c>
      <c r="D10" s="66" t="s">
        <v>4</v>
      </c>
      <c r="E10" s="65">
        <v>1734.1</v>
      </c>
      <c r="F10" s="65">
        <v>2398.0000000000005</v>
      </c>
      <c r="G10" s="65">
        <v>261.4</v>
      </c>
      <c r="H10" s="67">
        <v>1930.3</v>
      </c>
      <c r="I10" s="65">
        <f t="shared" si="0"/>
        <v>127214</v>
      </c>
      <c r="J10" s="68">
        <v>65629.4</v>
      </c>
      <c r="K10" s="65">
        <v>106043.30000000002</v>
      </c>
      <c r="L10" s="69">
        <v>1000</v>
      </c>
      <c r="M10" s="65">
        <v>380.9</v>
      </c>
      <c r="N10" s="65">
        <v>25</v>
      </c>
      <c r="O10" s="70" t="s">
        <v>4</v>
      </c>
      <c r="P10" s="65">
        <v>3953.5</v>
      </c>
      <c r="Q10" s="71" t="s">
        <v>4</v>
      </c>
      <c r="R10" s="72">
        <v>-49818.100000000006</v>
      </c>
      <c r="S10" s="65">
        <f t="shared" si="1"/>
        <v>127214</v>
      </c>
      <c r="T10" s="65">
        <v>396837.4</v>
      </c>
      <c r="U10" s="65">
        <f t="shared" si="2"/>
        <v>3.1194475450815164</v>
      </c>
    </row>
    <row r="11" spans="1:21" s="62" customFormat="1" ht="15.75">
      <c r="A11" s="64">
        <v>39569</v>
      </c>
      <c r="B11" s="65">
        <v>98766.6</v>
      </c>
      <c r="C11" s="65">
        <v>23173.1</v>
      </c>
      <c r="D11" s="66" t="s">
        <v>4</v>
      </c>
      <c r="E11" s="65">
        <v>1414.8</v>
      </c>
      <c r="F11" s="65">
        <v>1675.1769999999997</v>
      </c>
      <c r="G11" s="65">
        <v>336.5</v>
      </c>
      <c r="H11" s="67">
        <v>2158.7</v>
      </c>
      <c r="I11" s="65">
        <f t="shared" si="0"/>
        <v>127524.87700000001</v>
      </c>
      <c r="J11" s="68">
        <v>61488</v>
      </c>
      <c r="K11" s="65">
        <v>117095.97699999998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4084.1</v>
      </c>
      <c r="Q11" s="71">
        <v>-5000</v>
      </c>
      <c r="R11" s="72">
        <v>-50549.1</v>
      </c>
      <c r="S11" s="65">
        <f t="shared" si="1"/>
        <v>127524.87699999998</v>
      </c>
      <c r="T11" s="65">
        <v>387845.07699999993</v>
      </c>
      <c r="U11" s="65">
        <f t="shared" si="2"/>
        <v>3.041328767562739</v>
      </c>
    </row>
    <row r="12" spans="1:21" s="62" customFormat="1" ht="15.75">
      <c r="A12" s="64">
        <v>39600</v>
      </c>
      <c r="B12" s="65">
        <v>109147.9</v>
      </c>
      <c r="C12" s="65">
        <v>18877.9</v>
      </c>
      <c r="D12" s="66" t="s">
        <v>4</v>
      </c>
      <c r="E12" s="65">
        <v>1506.9</v>
      </c>
      <c r="F12" s="65">
        <v>4287.1</v>
      </c>
      <c r="G12" s="65">
        <v>490.1</v>
      </c>
      <c r="H12" s="67">
        <v>1501.1</v>
      </c>
      <c r="I12" s="65">
        <f t="shared" si="0"/>
        <v>135811</v>
      </c>
      <c r="J12" s="68">
        <v>56309.5</v>
      </c>
      <c r="K12" s="65">
        <v>126345.09999999999</v>
      </c>
      <c r="L12" s="69">
        <v>1474.9</v>
      </c>
      <c r="M12" s="65">
        <v>380.9</v>
      </c>
      <c r="N12" s="65">
        <v>25</v>
      </c>
      <c r="O12" s="70" t="s">
        <v>4</v>
      </c>
      <c r="P12" s="65">
        <v>4127.7</v>
      </c>
      <c r="Q12" s="71" t="s">
        <v>4</v>
      </c>
      <c r="R12" s="72">
        <v>-52852.100000000006</v>
      </c>
      <c r="S12" s="65">
        <f t="shared" si="1"/>
        <v>135810.99999999997</v>
      </c>
      <c r="T12" s="65">
        <v>406650.7</v>
      </c>
      <c r="U12" s="65">
        <f t="shared" si="2"/>
        <v>2.994239789118702</v>
      </c>
    </row>
    <row r="13" spans="1:21" s="62" customFormat="1" ht="15.75">
      <c r="A13" s="64">
        <v>39630</v>
      </c>
      <c r="B13" s="65">
        <v>121800.8</v>
      </c>
      <c r="C13" s="65">
        <v>21782.1</v>
      </c>
      <c r="D13" s="66" t="s">
        <v>4</v>
      </c>
      <c r="E13" s="65">
        <v>1271.3</v>
      </c>
      <c r="F13" s="65">
        <v>1552.6999999999998</v>
      </c>
      <c r="G13" s="65">
        <v>456.2</v>
      </c>
      <c r="H13" s="67">
        <v>2042.6</v>
      </c>
      <c r="I13" s="65">
        <f t="shared" si="0"/>
        <v>148905.7</v>
      </c>
      <c r="J13" s="68">
        <v>70144.19999999995</v>
      </c>
      <c r="K13" s="65">
        <v>122388.49999999997</v>
      </c>
      <c r="L13" s="69">
        <v>3006.3</v>
      </c>
      <c r="M13" s="65">
        <v>380.9</v>
      </c>
      <c r="N13" s="65">
        <v>25</v>
      </c>
      <c r="O13" s="70" t="s">
        <v>4</v>
      </c>
      <c r="P13" s="65">
        <v>4086.8</v>
      </c>
      <c r="Q13" s="71" t="s">
        <v>4</v>
      </c>
      <c r="R13" s="72">
        <v>-51126</v>
      </c>
      <c r="S13" s="65">
        <f t="shared" si="1"/>
        <v>148905.6999999999</v>
      </c>
      <c r="T13" s="65">
        <v>424665.5</v>
      </c>
      <c r="U13" s="65">
        <f t="shared" si="2"/>
        <v>2.8519089598316247</v>
      </c>
    </row>
    <row r="14" spans="1:21" s="62" customFormat="1" ht="15.75">
      <c r="A14" s="64">
        <v>39661</v>
      </c>
      <c r="B14" s="65">
        <v>121398.7</v>
      </c>
      <c r="C14" s="65">
        <v>17654.9</v>
      </c>
      <c r="D14" s="66" t="s">
        <v>4</v>
      </c>
      <c r="E14" s="65">
        <v>920.4000000000001</v>
      </c>
      <c r="F14" s="65">
        <v>1198.7</v>
      </c>
      <c r="G14" s="65">
        <v>293.2</v>
      </c>
      <c r="H14" s="67">
        <v>2010.8</v>
      </c>
      <c r="I14" s="65">
        <f t="shared" si="0"/>
        <v>143476.7</v>
      </c>
      <c r="J14" s="68">
        <v>79117.50000000003</v>
      </c>
      <c r="K14" s="65">
        <v>105645.6</v>
      </c>
      <c r="L14" s="69">
        <v>6000</v>
      </c>
      <c r="M14" s="65">
        <v>380.9</v>
      </c>
      <c r="N14" s="65">
        <v>25</v>
      </c>
      <c r="O14" s="70" t="s">
        <v>4</v>
      </c>
      <c r="P14" s="65">
        <v>4045.3</v>
      </c>
      <c r="Q14" s="71" t="s">
        <v>4</v>
      </c>
      <c r="R14" s="72">
        <v>-51737.6</v>
      </c>
      <c r="S14" s="65">
        <f t="shared" si="1"/>
        <v>143476.7</v>
      </c>
      <c r="T14" s="65">
        <v>438876.20000000007</v>
      </c>
      <c r="U14" s="65">
        <f t="shared" si="2"/>
        <v>3.0588673979816936</v>
      </c>
    </row>
    <row r="15" spans="1:21" s="62" customFormat="1" ht="15.75">
      <c r="A15" s="64">
        <v>39692</v>
      </c>
      <c r="B15" s="65">
        <v>123002.6</v>
      </c>
      <c r="C15" s="65">
        <v>17303.1</v>
      </c>
      <c r="D15" s="66" t="s">
        <v>4</v>
      </c>
      <c r="E15" s="65">
        <v>1436.6</v>
      </c>
      <c r="F15" s="65">
        <v>2300</v>
      </c>
      <c r="G15" s="65">
        <v>256.1</v>
      </c>
      <c r="H15" s="67">
        <v>2635.2</v>
      </c>
      <c r="I15" s="65">
        <f t="shared" si="0"/>
        <v>146933.60000000003</v>
      </c>
      <c r="J15" s="68">
        <v>75833.29999999996</v>
      </c>
      <c r="K15" s="65">
        <v>107112.1</v>
      </c>
      <c r="L15" s="69">
        <v>10622.1</v>
      </c>
      <c r="M15" s="65">
        <v>380.9</v>
      </c>
      <c r="N15" s="65">
        <v>25</v>
      </c>
      <c r="O15" s="70" t="s">
        <v>4</v>
      </c>
      <c r="P15" s="65">
        <v>3971.9</v>
      </c>
      <c r="Q15" s="71" t="s">
        <v>4</v>
      </c>
      <c r="R15" s="72">
        <v>-51011.7</v>
      </c>
      <c r="S15" s="65">
        <f t="shared" si="1"/>
        <v>146933.59999999998</v>
      </c>
      <c r="T15" s="65">
        <v>453036.39999999997</v>
      </c>
      <c r="U15" s="65">
        <f t="shared" si="2"/>
        <v>3.0832729886152648</v>
      </c>
    </row>
    <row r="16" spans="1:21" s="62" customFormat="1" ht="15.75">
      <c r="A16" s="64">
        <v>39722</v>
      </c>
      <c r="B16" s="65">
        <v>118622.6</v>
      </c>
      <c r="C16" s="65">
        <v>23160.4</v>
      </c>
      <c r="D16" s="66" t="s">
        <v>4</v>
      </c>
      <c r="E16" s="65">
        <v>835.6</v>
      </c>
      <c r="F16" s="65">
        <v>1851.5</v>
      </c>
      <c r="G16" s="65">
        <v>143.6</v>
      </c>
      <c r="H16" s="67">
        <v>1653.9</v>
      </c>
      <c r="I16" s="65">
        <f t="shared" si="0"/>
        <v>146267.6</v>
      </c>
      <c r="J16" s="68">
        <v>95303.6</v>
      </c>
      <c r="K16" s="65">
        <v>94508.8</v>
      </c>
      <c r="L16" s="69">
        <v>5355.8</v>
      </c>
      <c r="M16" s="65">
        <v>380.9</v>
      </c>
      <c r="N16" s="65">
        <v>25</v>
      </c>
      <c r="O16" s="70" t="s">
        <v>4</v>
      </c>
      <c r="P16" s="65">
        <v>4023.9</v>
      </c>
      <c r="Q16" s="71" t="s">
        <v>4</v>
      </c>
      <c r="R16" s="72">
        <v>-53330.399999999994</v>
      </c>
      <c r="S16" s="65">
        <f t="shared" si="1"/>
        <v>146267.6</v>
      </c>
      <c r="T16" s="65">
        <v>452404.50000000006</v>
      </c>
      <c r="U16" s="65">
        <f t="shared" si="2"/>
        <v>3.092991886104647</v>
      </c>
    </row>
    <row r="17" spans="1:21" s="62" customFormat="1" ht="15.75">
      <c r="A17" s="64">
        <v>39753</v>
      </c>
      <c r="B17" s="65">
        <v>116373.1</v>
      </c>
      <c r="C17" s="65">
        <v>20223</v>
      </c>
      <c r="D17" s="66" t="s">
        <v>4</v>
      </c>
      <c r="E17" s="65">
        <v>632.4</v>
      </c>
      <c r="F17" s="65">
        <v>1054.3</v>
      </c>
      <c r="G17" s="65">
        <v>133</v>
      </c>
      <c r="H17" s="67">
        <v>1621.7</v>
      </c>
      <c r="I17" s="65">
        <f t="shared" si="0"/>
        <v>140037.5</v>
      </c>
      <c r="J17" s="68">
        <v>107336.39999999994</v>
      </c>
      <c r="K17" s="65">
        <v>77336.90000000002</v>
      </c>
      <c r="L17" s="69">
        <v>5508.8</v>
      </c>
      <c r="M17" s="65">
        <v>380.9</v>
      </c>
      <c r="N17" s="65">
        <v>25</v>
      </c>
      <c r="O17" s="70" t="s">
        <v>4</v>
      </c>
      <c r="P17" s="65">
        <v>4016.4</v>
      </c>
      <c r="Q17" s="71">
        <v>-1500</v>
      </c>
      <c r="R17" s="72">
        <v>-53066.899999999994</v>
      </c>
      <c r="S17" s="65">
        <f t="shared" si="1"/>
        <v>140037.49999999994</v>
      </c>
      <c r="T17" s="65">
        <v>454987.00000000006</v>
      </c>
      <c r="U17" s="65">
        <f t="shared" si="2"/>
        <v>3.2490368651254133</v>
      </c>
    </row>
    <row r="18" spans="1:21" s="62" customFormat="1" ht="15.75">
      <c r="A18" s="64">
        <v>39783</v>
      </c>
      <c r="B18" s="65">
        <v>124230.9</v>
      </c>
      <c r="C18" s="65">
        <v>24965.9</v>
      </c>
      <c r="D18" s="66" t="s">
        <v>4</v>
      </c>
      <c r="E18" s="65">
        <v>1127</v>
      </c>
      <c r="F18" s="65">
        <v>4527.2</v>
      </c>
      <c r="G18" s="65">
        <v>56.9</v>
      </c>
      <c r="H18" s="67">
        <v>1675.3</v>
      </c>
      <c r="I18" s="65">
        <f t="shared" si="0"/>
        <v>156583.19999999998</v>
      </c>
      <c r="J18" s="68">
        <v>159092.20000000007</v>
      </c>
      <c r="K18" s="65">
        <v>76990.5</v>
      </c>
      <c r="L18" s="69" t="s">
        <v>4</v>
      </c>
      <c r="M18" s="65">
        <v>380.9</v>
      </c>
      <c r="N18" s="65">
        <v>25</v>
      </c>
      <c r="O18" s="70" t="s">
        <v>4</v>
      </c>
      <c r="P18" s="65">
        <v>3901.2000000000003</v>
      </c>
      <c r="Q18" s="71">
        <v>-12000</v>
      </c>
      <c r="R18" s="72">
        <v>-71806.6</v>
      </c>
      <c r="S18" s="65">
        <f t="shared" si="1"/>
        <v>156583.20000000007</v>
      </c>
      <c r="T18" s="65">
        <v>482598.3</v>
      </c>
      <c r="U18" s="65">
        <f t="shared" si="2"/>
        <v>3.082056695737474</v>
      </c>
    </row>
    <row r="19" spans="1:21" s="62" customFormat="1" ht="15.75">
      <c r="A19" s="64">
        <v>39814</v>
      </c>
      <c r="B19" s="65">
        <v>114706.9</v>
      </c>
      <c r="C19" s="65">
        <v>31192.800000000003</v>
      </c>
      <c r="D19" s="66" t="s">
        <v>4</v>
      </c>
      <c r="E19" s="65">
        <v>817.6</v>
      </c>
      <c r="F19" s="65">
        <v>1689.4999999999998</v>
      </c>
      <c r="G19" s="65">
        <v>89.3</v>
      </c>
      <c r="H19" s="67">
        <v>1627.8</v>
      </c>
      <c r="I19" s="65">
        <f t="shared" si="0"/>
        <v>150123.9</v>
      </c>
      <c r="J19" s="68">
        <v>141369.9</v>
      </c>
      <c r="K19" s="65">
        <v>72031.8</v>
      </c>
      <c r="L19" s="69" t="s">
        <v>4</v>
      </c>
      <c r="M19" s="65">
        <v>380.9</v>
      </c>
      <c r="N19" s="65">
        <v>25</v>
      </c>
      <c r="O19" s="70" t="s">
        <v>4</v>
      </c>
      <c r="P19" s="65">
        <v>4675.2</v>
      </c>
      <c r="Q19" s="71">
        <v>-15000</v>
      </c>
      <c r="R19" s="72">
        <v>-53358.9</v>
      </c>
      <c r="S19" s="65">
        <f t="shared" si="1"/>
        <v>150123.90000000002</v>
      </c>
      <c r="T19" s="65">
        <v>464981.6</v>
      </c>
      <c r="U19" s="65">
        <f t="shared" si="2"/>
        <v>3.0973189478823824</v>
      </c>
    </row>
    <row r="20" spans="1:21" s="62" customFormat="1" ht="15.75">
      <c r="A20" s="64">
        <v>39845</v>
      </c>
      <c r="B20" s="65">
        <v>113068.7</v>
      </c>
      <c r="C20" s="65">
        <v>27634.1</v>
      </c>
      <c r="D20" s="66" t="s">
        <v>4</v>
      </c>
      <c r="E20" s="65">
        <v>704.0000000000001</v>
      </c>
      <c r="F20" s="65">
        <v>1532.168</v>
      </c>
      <c r="G20" s="65">
        <v>93.5</v>
      </c>
      <c r="H20" s="67">
        <v>1771.6</v>
      </c>
      <c r="I20" s="65">
        <f t="shared" si="0"/>
        <v>144804.068</v>
      </c>
      <c r="J20" s="68">
        <v>125265.90000000002</v>
      </c>
      <c r="K20" s="65">
        <v>81052.96800000002</v>
      </c>
      <c r="L20" s="69" t="s">
        <v>4</v>
      </c>
      <c r="M20" s="65">
        <v>380.9</v>
      </c>
      <c r="N20" s="65">
        <v>25</v>
      </c>
      <c r="O20" s="70" t="s">
        <v>4</v>
      </c>
      <c r="P20" s="65">
        <v>4588.5</v>
      </c>
      <c r="Q20" s="71">
        <v>-10000</v>
      </c>
      <c r="R20" s="72">
        <v>-56509.2</v>
      </c>
      <c r="S20" s="65">
        <f t="shared" si="1"/>
        <v>144804.06800000003</v>
      </c>
      <c r="T20" s="65">
        <v>460292.568</v>
      </c>
      <c r="U20" s="65">
        <f t="shared" si="2"/>
        <v>3.1787267744439336</v>
      </c>
    </row>
    <row r="21" spans="1:21" s="62" customFormat="1" ht="15.75">
      <c r="A21" s="64">
        <v>39873</v>
      </c>
      <c r="B21" s="65">
        <v>112651.3</v>
      </c>
      <c r="C21" s="65">
        <v>22247.699999999997</v>
      </c>
      <c r="D21" s="66" t="s">
        <v>4</v>
      </c>
      <c r="E21" s="65">
        <v>482.70000000000005</v>
      </c>
      <c r="F21" s="65">
        <v>1866.9</v>
      </c>
      <c r="G21" s="65">
        <v>232.7</v>
      </c>
      <c r="H21" s="67">
        <v>1526.3</v>
      </c>
      <c r="I21" s="65">
        <f t="shared" si="0"/>
        <v>139007.6</v>
      </c>
      <c r="J21" s="68">
        <v>105784.50000000003</v>
      </c>
      <c r="K21" s="65">
        <v>86813.2</v>
      </c>
      <c r="L21" s="69" t="s">
        <v>4</v>
      </c>
      <c r="M21" s="65">
        <v>380.9</v>
      </c>
      <c r="N21" s="65">
        <v>25</v>
      </c>
      <c r="O21" s="70" t="s">
        <v>4</v>
      </c>
      <c r="P21" s="65">
        <v>4553.5</v>
      </c>
      <c r="Q21" s="71">
        <v>-8300</v>
      </c>
      <c r="R21" s="72">
        <v>-50249.49999999999</v>
      </c>
      <c r="S21" s="65">
        <f t="shared" si="1"/>
        <v>139007.6</v>
      </c>
      <c r="T21" s="65">
        <v>471393.8999999999</v>
      </c>
      <c r="U21" s="65">
        <f t="shared" si="2"/>
        <v>3.39113760686466</v>
      </c>
    </row>
    <row r="22" spans="1:21" s="62" customFormat="1" ht="15.75">
      <c r="A22" s="64">
        <v>39904</v>
      </c>
      <c r="B22" s="65">
        <v>115183.7</v>
      </c>
      <c r="C22" s="65">
        <v>23019</v>
      </c>
      <c r="D22" s="66" t="s">
        <v>4</v>
      </c>
      <c r="E22" s="65">
        <v>472.70000000000005</v>
      </c>
      <c r="F22" s="65">
        <v>2219.5</v>
      </c>
      <c r="G22" s="65">
        <v>59.6</v>
      </c>
      <c r="H22" s="67">
        <v>1285.2</v>
      </c>
      <c r="I22" s="65">
        <f t="shared" si="0"/>
        <v>142239.70000000004</v>
      </c>
      <c r="J22" s="68">
        <v>90877.50000000003</v>
      </c>
      <c r="K22" s="65">
        <v>97639.40000000001</v>
      </c>
      <c r="L22" s="69" t="s">
        <v>4</v>
      </c>
      <c r="M22" s="65">
        <v>380.9</v>
      </c>
      <c r="N22" s="65">
        <v>25</v>
      </c>
      <c r="O22" s="70" t="s">
        <v>4</v>
      </c>
      <c r="P22" s="65">
        <v>4559.900000000001</v>
      </c>
      <c r="Q22" s="71">
        <v>-2300</v>
      </c>
      <c r="R22" s="72">
        <v>-48943</v>
      </c>
      <c r="S22" s="65">
        <f t="shared" si="1"/>
        <v>142239.7</v>
      </c>
      <c r="T22" s="65">
        <v>476285.8</v>
      </c>
      <c r="U22" s="65">
        <f t="shared" si="2"/>
        <v>3.3484730353058945</v>
      </c>
    </row>
    <row r="23" spans="1:21" s="62" customFormat="1" ht="15.75">
      <c r="A23" s="64">
        <v>39934</v>
      </c>
      <c r="B23" s="65">
        <v>112468.1</v>
      </c>
      <c r="C23" s="65">
        <v>30605.6</v>
      </c>
      <c r="D23" s="66" t="s">
        <v>4</v>
      </c>
      <c r="E23" s="65">
        <v>318.79999999999995</v>
      </c>
      <c r="F23" s="65">
        <v>1111</v>
      </c>
      <c r="G23" s="65">
        <v>43</v>
      </c>
      <c r="H23" s="67">
        <v>1319.9</v>
      </c>
      <c r="I23" s="65">
        <f t="shared" si="0"/>
        <v>145866.4</v>
      </c>
      <c r="J23" s="68">
        <v>154336.40000000008</v>
      </c>
      <c r="K23" s="65">
        <v>70010.70000000001</v>
      </c>
      <c r="L23" s="69" t="s">
        <v>4</v>
      </c>
      <c r="M23" s="65">
        <v>380.9</v>
      </c>
      <c r="N23" s="65">
        <v>25</v>
      </c>
      <c r="O23" s="70" t="s">
        <v>4</v>
      </c>
      <c r="P23" s="65">
        <v>4633</v>
      </c>
      <c r="Q23" s="71" t="s">
        <v>4</v>
      </c>
      <c r="R23" s="72">
        <v>-83519.6</v>
      </c>
      <c r="S23" s="65">
        <f t="shared" si="1"/>
        <v>145866.40000000008</v>
      </c>
      <c r="T23" s="65">
        <v>470690.0000000001</v>
      </c>
      <c r="U23" s="65">
        <f t="shared" si="2"/>
        <v>3.226856904674415</v>
      </c>
    </row>
    <row r="24" spans="1:21" s="62" customFormat="1" ht="15.75">
      <c r="A24" s="64">
        <v>39965</v>
      </c>
      <c r="B24" s="65">
        <v>120665.4</v>
      </c>
      <c r="C24" s="65">
        <v>39647.5</v>
      </c>
      <c r="D24" s="66" t="s">
        <v>4</v>
      </c>
      <c r="E24" s="65">
        <v>835.8</v>
      </c>
      <c r="F24" s="65">
        <v>2826.4</v>
      </c>
      <c r="G24" s="65">
        <v>55.3</v>
      </c>
      <c r="H24" s="67">
        <v>1354.9</v>
      </c>
      <c r="I24" s="65">
        <f t="shared" si="0"/>
        <v>165385.29999999996</v>
      </c>
      <c r="J24" s="68">
        <v>148241.89999999997</v>
      </c>
      <c r="K24" s="65">
        <v>92741.8</v>
      </c>
      <c r="L24" s="69" t="s">
        <v>4</v>
      </c>
      <c r="M24" s="65">
        <v>380.9</v>
      </c>
      <c r="N24" s="65">
        <v>25</v>
      </c>
      <c r="O24" s="70" t="s">
        <v>4</v>
      </c>
      <c r="P24" s="65">
        <v>4658.5</v>
      </c>
      <c r="Q24" s="71" t="s">
        <v>4</v>
      </c>
      <c r="R24" s="72">
        <v>-80662.8</v>
      </c>
      <c r="S24" s="65">
        <f t="shared" si="1"/>
        <v>165385.29999999993</v>
      </c>
      <c r="T24" s="65">
        <v>486761.1</v>
      </c>
      <c r="U24" s="65">
        <f t="shared" si="2"/>
        <v>2.943194467706623</v>
      </c>
    </row>
    <row r="25" spans="1:21" s="62" customFormat="1" ht="15.75">
      <c r="A25" s="64">
        <v>39995</v>
      </c>
      <c r="B25" s="65">
        <v>124675.4</v>
      </c>
      <c r="C25" s="65">
        <v>21455.5</v>
      </c>
      <c r="D25" s="66" t="s">
        <v>4</v>
      </c>
      <c r="E25" s="65">
        <v>220.4</v>
      </c>
      <c r="F25" s="65">
        <v>1534.6</v>
      </c>
      <c r="G25" s="65">
        <v>42.1</v>
      </c>
      <c r="H25" s="67">
        <v>1409.2</v>
      </c>
      <c r="I25" s="65">
        <f t="shared" si="0"/>
        <v>149337.2</v>
      </c>
      <c r="J25" s="68">
        <v>132152.60000000003</v>
      </c>
      <c r="K25" s="65">
        <v>95710.20000000001</v>
      </c>
      <c r="L25" s="69" t="s">
        <v>4</v>
      </c>
      <c r="M25" s="65">
        <v>380.9</v>
      </c>
      <c r="N25" s="65">
        <v>25</v>
      </c>
      <c r="O25" s="70" t="s">
        <v>4</v>
      </c>
      <c r="P25" s="65">
        <v>4670.699999999999</v>
      </c>
      <c r="Q25" s="71">
        <v>-3000</v>
      </c>
      <c r="R25" s="72">
        <v>-80602.2</v>
      </c>
      <c r="S25" s="65">
        <f t="shared" si="1"/>
        <v>149337.20000000007</v>
      </c>
      <c r="T25" s="65">
        <v>486512.20000000007</v>
      </c>
      <c r="U25" s="65">
        <f t="shared" si="2"/>
        <v>3.257809842423723</v>
      </c>
    </row>
    <row r="26" spans="1:21" s="62" customFormat="1" ht="15.75">
      <c r="A26" s="64">
        <v>40026</v>
      </c>
      <c r="B26" s="65">
        <v>124765.5</v>
      </c>
      <c r="C26" s="65">
        <v>26062.2</v>
      </c>
      <c r="D26" s="66" t="s">
        <v>4</v>
      </c>
      <c r="E26" s="65">
        <v>303.80000000000007</v>
      </c>
      <c r="F26" s="65">
        <v>1731.2</v>
      </c>
      <c r="G26" s="65">
        <v>64.5</v>
      </c>
      <c r="H26" s="67">
        <v>1217</v>
      </c>
      <c r="I26" s="65">
        <f t="shared" si="0"/>
        <v>154144.2</v>
      </c>
      <c r="J26" s="68">
        <v>115750.00000000003</v>
      </c>
      <c r="K26" s="65">
        <v>111837.09999999999</v>
      </c>
      <c r="L26" s="69" t="s">
        <v>4</v>
      </c>
      <c r="M26" s="65">
        <v>380.9</v>
      </c>
      <c r="N26" s="65">
        <v>25</v>
      </c>
      <c r="O26" s="70" t="s">
        <v>4</v>
      </c>
      <c r="P26" s="65">
        <v>4653.9</v>
      </c>
      <c r="Q26" s="71" t="s">
        <v>4</v>
      </c>
      <c r="R26" s="72">
        <v>-78502.7</v>
      </c>
      <c r="S26" s="65">
        <f t="shared" si="1"/>
        <v>154144.2</v>
      </c>
      <c r="T26" s="65">
        <v>492047.6</v>
      </c>
      <c r="U26" s="65">
        <f t="shared" si="2"/>
        <v>3.192125295664708</v>
      </c>
    </row>
    <row r="27" spans="1:21" s="62" customFormat="1" ht="15.75">
      <c r="A27" s="64">
        <v>40057</v>
      </c>
      <c r="B27" s="65">
        <v>117851.2</v>
      </c>
      <c r="C27" s="65">
        <v>36139</v>
      </c>
      <c r="D27" s="66" t="s">
        <v>4</v>
      </c>
      <c r="E27" s="65">
        <v>818.5000000000001</v>
      </c>
      <c r="F27" s="65">
        <v>2040.1</v>
      </c>
      <c r="G27" s="65">
        <v>48.6</v>
      </c>
      <c r="H27" s="67">
        <v>1353.5</v>
      </c>
      <c r="I27" s="65">
        <f t="shared" si="0"/>
        <v>158250.90000000002</v>
      </c>
      <c r="J27" s="68">
        <v>133943.70000000004</v>
      </c>
      <c r="K27" s="65">
        <v>98007.60000000002</v>
      </c>
      <c r="L27" s="69" t="s">
        <v>4</v>
      </c>
      <c r="M27" s="65">
        <v>380.9</v>
      </c>
      <c r="N27" s="65">
        <v>25</v>
      </c>
      <c r="O27" s="70" t="s">
        <v>4</v>
      </c>
      <c r="P27" s="65">
        <v>4617.699999999999</v>
      </c>
      <c r="Q27" s="71" t="s">
        <v>4</v>
      </c>
      <c r="R27" s="72">
        <v>-78724</v>
      </c>
      <c r="S27" s="65">
        <f t="shared" si="1"/>
        <v>158250.90000000005</v>
      </c>
      <c r="T27" s="65">
        <v>505926.30000000005</v>
      </c>
      <c r="U27" s="65">
        <f t="shared" si="2"/>
        <v>3.196988453146238</v>
      </c>
    </row>
    <row r="28" spans="1:21" s="62" customFormat="1" ht="15.75">
      <c r="A28" s="64">
        <v>40087</v>
      </c>
      <c r="B28" s="65">
        <v>119216.8</v>
      </c>
      <c r="C28" s="65">
        <v>33282.8</v>
      </c>
      <c r="D28" s="66" t="s">
        <v>4</v>
      </c>
      <c r="E28" s="65">
        <v>686.4000000000001</v>
      </c>
      <c r="F28" s="65">
        <v>1721.9</v>
      </c>
      <c r="G28" s="65">
        <v>76.9</v>
      </c>
      <c r="H28" s="67">
        <v>1329.2</v>
      </c>
      <c r="I28" s="65">
        <f t="shared" si="0"/>
        <v>156314</v>
      </c>
      <c r="J28" s="68">
        <v>129014.59999999998</v>
      </c>
      <c r="K28" s="65">
        <v>103504.70000000001</v>
      </c>
      <c r="L28" s="69" t="s">
        <v>4</v>
      </c>
      <c r="M28" s="65">
        <v>380.9</v>
      </c>
      <c r="N28" s="65">
        <v>25</v>
      </c>
      <c r="O28" s="70" t="s">
        <v>4</v>
      </c>
      <c r="P28" s="65">
        <v>4536.4</v>
      </c>
      <c r="Q28" s="71" t="s">
        <v>4</v>
      </c>
      <c r="R28" s="72">
        <v>-81147.59999999999</v>
      </c>
      <c r="S28" s="65">
        <f t="shared" si="1"/>
        <v>156314</v>
      </c>
      <c r="T28" s="65">
        <v>514112.9</v>
      </c>
      <c r="U28" s="65">
        <f t="shared" si="2"/>
        <v>3.2889753956779306</v>
      </c>
    </row>
    <row r="29" spans="1:21" s="62" customFormat="1" ht="15.75">
      <c r="A29" s="64">
        <v>40118</v>
      </c>
      <c r="B29" s="65">
        <v>117965.7</v>
      </c>
      <c r="C29" s="65">
        <v>37170.7</v>
      </c>
      <c r="D29" s="66" t="s">
        <v>4</v>
      </c>
      <c r="E29" s="65">
        <v>941.0999999999999</v>
      </c>
      <c r="F29" s="65">
        <v>1724.1</v>
      </c>
      <c r="G29" s="65">
        <v>100.3</v>
      </c>
      <c r="H29" s="67">
        <v>1112.4</v>
      </c>
      <c r="I29" s="65">
        <f t="shared" si="0"/>
        <v>159014.3</v>
      </c>
      <c r="J29" s="68">
        <v>120358.70000000001</v>
      </c>
      <c r="K29" s="65">
        <v>124081.19999999998</v>
      </c>
      <c r="L29" s="69" t="s">
        <v>4</v>
      </c>
      <c r="M29" s="65">
        <v>380.9</v>
      </c>
      <c r="N29" s="65">
        <v>25</v>
      </c>
      <c r="O29" s="70" t="s">
        <v>4</v>
      </c>
      <c r="P29" s="65">
        <v>4468.299999999999</v>
      </c>
      <c r="Q29" s="71">
        <v>-6000</v>
      </c>
      <c r="R29" s="72">
        <v>-84299.8</v>
      </c>
      <c r="S29" s="65">
        <f t="shared" si="1"/>
        <v>159014.3</v>
      </c>
      <c r="T29" s="65">
        <v>509232.3</v>
      </c>
      <c r="U29" s="65">
        <f t="shared" si="2"/>
        <v>3.2024308505587236</v>
      </c>
    </row>
    <row r="30" spans="1:21" s="62" customFormat="1" ht="15.75">
      <c r="A30" s="64">
        <v>40148</v>
      </c>
      <c r="B30" s="65">
        <v>136206.2</v>
      </c>
      <c r="C30" s="65">
        <v>53891.1</v>
      </c>
      <c r="D30" s="66" t="s">
        <v>4</v>
      </c>
      <c r="E30" s="65">
        <v>1014.1</v>
      </c>
      <c r="F30" s="65">
        <v>6100.8</v>
      </c>
      <c r="G30" s="65">
        <v>29.2</v>
      </c>
      <c r="H30" s="67">
        <v>901.8</v>
      </c>
      <c r="I30" s="65">
        <f t="shared" si="0"/>
        <v>198143.2</v>
      </c>
      <c r="J30" s="68">
        <v>144966.20000000007</v>
      </c>
      <c r="K30" s="65">
        <v>167752.20000000004</v>
      </c>
      <c r="L30" s="69" t="s">
        <v>4</v>
      </c>
      <c r="M30" s="65">
        <v>380.9</v>
      </c>
      <c r="N30" s="65">
        <v>20</v>
      </c>
      <c r="O30" s="70" t="s">
        <v>4</v>
      </c>
      <c r="P30" s="65">
        <v>4342.7</v>
      </c>
      <c r="Q30" s="71">
        <v>-10000</v>
      </c>
      <c r="R30" s="72">
        <v>-109318.79999999999</v>
      </c>
      <c r="S30" s="65">
        <f t="shared" si="1"/>
        <v>198143.2000000002</v>
      </c>
      <c r="T30" s="65">
        <v>565309.9</v>
      </c>
      <c r="U30" s="65">
        <f t="shared" si="2"/>
        <v>2.8530370964030056</v>
      </c>
    </row>
    <row r="31" spans="1:21" s="62" customFormat="1" ht="15.75">
      <c r="A31" s="64">
        <v>40179</v>
      </c>
      <c r="B31" s="65">
        <v>124469.1</v>
      </c>
      <c r="C31" s="65">
        <v>44898.4</v>
      </c>
      <c r="D31" s="66" t="s">
        <v>4</v>
      </c>
      <c r="E31" s="65">
        <v>721.3</v>
      </c>
      <c r="F31" s="65">
        <v>3451.6000000000004</v>
      </c>
      <c r="G31" s="65">
        <v>35</v>
      </c>
      <c r="H31" s="67">
        <v>778.3</v>
      </c>
      <c r="I31" s="65">
        <f t="shared" si="0"/>
        <v>174353.69999999998</v>
      </c>
      <c r="J31" s="73">
        <v>153042.50000000006</v>
      </c>
      <c r="K31" s="65">
        <v>117407.90000000002</v>
      </c>
      <c r="L31" s="69" t="s">
        <v>4</v>
      </c>
      <c r="M31" s="65">
        <v>380.9</v>
      </c>
      <c r="N31" s="65">
        <v>20</v>
      </c>
      <c r="O31" s="70" t="s">
        <v>4</v>
      </c>
      <c r="P31" s="65">
        <v>5185.9</v>
      </c>
      <c r="Q31" s="71">
        <v>-20000</v>
      </c>
      <c r="R31" s="72">
        <v>-81683.5</v>
      </c>
      <c r="S31" s="65">
        <f t="shared" si="1"/>
        <v>174353.70000000013</v>
      </c>
      <c r="T31" s="65">
        <v>550236.5</v>
      </c>
      <c r="U31" s="65">
        <f t="shared" si="2"/>
        <v>3.155863626639412</v>
      </c>
    </row>
    <row r="32" spans="1:21" s="62" customFormat="1" ht="15.75">
      <c r="A32" s="64">
        <v>40210</v>
      </c>
      <c r="B32" s="65">
        <v>125950.7</v>
      </c>
      <c r="C32" s="65">
        <v>41712.1</v>
      </c>
      <c r="D32" s="66" t="s">
        <v>4</v>
      </c>
      <c r="E32" s="65">
        <v>1912.9999999999998</v>
      </c>
      <c r="F32" s="65">
        <v>1645.8999999999999</v>
      </c>
      <c r="G32" s="65">
        <v>58.4</v>
      </c>
      <c r="H32" s="67">
        <v>1143.8</v>
      </c>
      <c r="I32" s="65">
        <f t="shared" si="0"/>
        <v>172423.89999999997</v>
      </c>
      <c r="J32" s="73">
        <v>150227.50000000003</v>
      </c>
      <c r="K32" s="65">
        <v>117857.3</v>
      </c>
      <c r="L32" s="69" t="s">
        <v>4</v>
      </c>
      <c r="M32" s="65">
        <v>380.9</v>
      </c>
      <c r="N32" s="65">
        <v>20</v>
      </c>
      <c r="O32" s="70" t="s">
        <v>4</v>
      </c>
      <c r="P32" s="65">
        <v>5109.2</v>
      </c>
      <c r="Q32" s="71">
        <v>-16000</v>
      </c>
      <c r="R32" s="72">
        <v>-85170.99999999999</v>
      </c>
      <c r="S32" s="65">
        <f t="shared" si="1"/>
        <v>172423.90000000008</v>
      </c>
      <c r="T32" s="65">
        <v>555905.1000000001</v>
      </c>
      <c r="U32" s="65">
        <f t="shared" si="2"/>
        <v>3.224060585568475</v>
      </c>
    </row>
    <row r="33" spans="1:21" s="62" customFormat="1" ht="15.75">
      <c r="A33" s="64">
        <v>40238</v>
      </c>
      <c r="B33" s="65">
        <v>125349.6</v>
      </c>
      <c r="C33" s="65">
        <v>26586.199999999997</v>
      </c>
      <c r="D33" s="66" t="s">
        <v>4</v>
      </c>
      <c r="E33" s="65">
        <v>707.1</v>
      </c>
      <c r="F33" s="65">
        <v>2048.3</v>
      </c>
      <c r="G33" s="65">
        <v>77.4</v>
      </c>
      <c r="H33" s="67">
        <v>590.6</v>
      </c>
      <c r="I33" s="65">
        <f t="shared" si="0"/>
        <v>155359.19999999998</v>
      </c>
      <c r="J33" s="73">
        <v>136213.69999999992</v>
      </c>
      <c r="K33" s="65">
        <v>123302.19999999998</v>
      </c>
      <c r="L33" s="69" t="s">
        <v>4</v>
      </c>
      <c r="M33" s="65">
        <v>380.9</v>
      </c>
      <c r="N33" s="65">
        <v>20</v>
      </c>
      <c r="O33" s="70" t="s">
        <v>4</v>
      </c>
      <c r="P33" s="65">
        <v>5051.9</v>
      </c>
      <c r="Q33" s="71">
        <v>-22100</v>
      </c>
      <c r="R33" s="72">
        <v>-87509.5</v>
      </c>
      <c r="S33" s="65">
        <f t="shared" si="1"/>
        <v>155359.1999999999</v>
      </c>
      <c r="T33" s="65">
        <v>572007.5999999999</v>
      </c>
      <c r="U33" s="65">
        <f t="shared" si="2"/>
        <v>3.6818392473699655</v>
      </c>
    </row>
    <row r="34" spans="1:21" s="62" customFormat="1" ht="15.75">
      <c r="A34" s="64">
        <v>40269</v>
      </c>
      <c r="B34" s="65">
        <v>127864.3</v>
      </c>
      <c r="C34" s="65">
        <v>42278.6</v>
      </c>
      <c r="D34" s="66" t="s">
        <v>4</v>
      </c>
      <c r="E34" s="65">
        <v>2281</v>
      </c>
      <c r="F34" s="65">
        <v>2970.8</v>
      </c>
      <c r="G34" s="65">
        <v>53</v>
      </c>
      <c r="H34" s="67">
        <v>722.2</v>
      </c>
      <c r="I34" s="65">
        <f t="shared" si="0"/>
        <v>176169.9</v>
      </c>
      <c r="J34" s="73">
        <v>124940.20000000007</v>
      </c>
      <c r="K34" s="65">
        <v>140275.89999999997</v>
      </c>
      <c r="L34" s="69" t="s">
        <v>4</v>
      </c>
      <c r="M34" s="65">
        <v>380.9</v>
      </c>
      <c r="N34" s="65">
        <v>20</v>
      </c>
      <c r="O34" s="70" t="s">
        <v>4</v>
      </c>
      <c r="P34" s="65">
        <v>5048.7</v>
      </c>
      <c r="Q34" s="71">
        <v>-10000</v>
      </c>
      <c r="R34" s="72">
        <v>-84495.80000000002</v>
      </c>
      <c r="S34" s="65">
        <f t="shared" si="1"/>
        <v>176169.90000000005</v>
      </c>
      <c r="T34" s="65">
        <v>572238.1000000001</v>
      </c>
      <c r="U34" s="65">
        <f t="shared" si="2"/>
        <v>3.2482172039604955</v>
      </c>
    </row>
    <row r="35" spans="1:21" s="62" customFormat="1" ht="15.75">
      <c r="A35" s="64">
        <v>40299</v>
      </c>
      <c r="B35" s="65">
        <v>130114.6</v>
      </c>
      <c r="C35" s="65">
        <v>15889</v>
      </c>
      <c r="D35" s="66" t="s">
        <v>4</v>
      </c>
      <c r="E35" s="65">
        <v>2142.3</v>
      </c>
      <c r="F35" s="65">
        <v>3033.4</v>
      </c>
      <c r="G35" s="65">
        <v>40.6</v>
      </c>
      <c r="H35" s="67">
        <v>557.7</v>
      </c>
      <c r="I35" s="65">
        <f t="shared" si="0"/>
        <v>151777.6</v>
      </c>
      <c r="J35" s="73">
        <v>110538.00000000006</v>
      </c>
      <c r="K35" s="65">
        <v>123904.30000000002</v>
      </c>
      <c r="L35" s="69" t="s">
        <v>4</v>
      </c>
      <c r="M35" s="65">
        <v>380.9</v>
      </c>
      <c r="N35" s="65">
        <v>20</v>
      </c>
      <c r="O35" s="70" t="s">
        <v>4</v>
      </c>
      <c r="P35" s="65">
        <v>4993.099999999999</v>
      </c>
      <c r="Q35" s="71" t="s">
        <v>4</v>
      </c>
      <c r="R35" s="72">
        <v>-88058.7</v>
      </c>
      <c r="S35" s="65">
        <f t="shared" si="1"/>
        <v>151777.6000000001</v>
      </c>
      <c r="T35" s="65">
        <v>559245.8</v>
      </c>
      <c r="U35" s="65">
        <f t="shared" si="2"/>
        <v>3.6846398941609304</v>
      </c>
    </row>
    <row r="36" spans="1:21" s="62" customFormat="1" ht="15.75">
      <c r="A36" s="64">
        <v>40330</v>
      </c>
      <c r="B36" s="65">
        <v>147647.5</v>
      </c>
      <c r="C36" s="65">
        <v>21971.5</v>
      </c>
      <c r="D36" s="65">
        <v>0.491</v>
      </c>
      <c r="E36" s="65">
        <v>1973</v>
      </c>
      <c r="F36" s="65">
        <v>2936</v>
      </c>
      <c r="G36" s="65">
        <v>23.6</v>
      </c>
      <c r="H36" s="67">
        <v>883.109</v>
      </c>
      <c r="I36" s="65">
        <f t="shared" si="0"/>
        <v>175435.2</v>
      </c>
      <c r="J36" s="73">
        <v>94137.99999999997</v>
      </c>
      <c r="K36" s="65">
        <v>149157.60000000003</v>
      </c>
      <c r="L36" s="69" t="s">
        <v>4</v>
      </c>
      <c r="M36" s="65">
        <v>380.9</v>
      </c>
      <c r="N36" s="65">
        <v>20</v>
      </c>
      <c r="O36" s="70" t="s">
        <v>4</v>
      </c>
      <c r="P36" s="65">
        <v>4893.7</v>
      </c>
      <c r="Q36" s="71" t="s">
        <v>4</v>
      </c>
      <c r="R36" s="72">
        <v>-73155</v>
      </c>
      <c r="S36" s="65">
        <f t="shared" si="1"/>
        <v>175435.2</v>
      </c>
      <c r="T36" s="65">
        <v>599322.1</v>
      </c>
      <c r="U36" s="65">
        <f t="shared" si="2"/>
        <v>3.416202107672804</v>
      </c>
    </row>
    <row r="37" spans="1:21" s="62" customFormat="1" ht="15.75">
      <c r="A37" s="64">
        <v>40360</v>
      </c>
      <c r="B37" s="65">
        <v>163191.5</v>
      </c>
      <c r="C37" s="65">
        <v>23739.5</v>
      </c>
      <c r="D37" s="65">
        <v>50.491</v>
      </c>
      <c r="E37" s="65">
        <v>1612.3</v>
      </c>
      <c r="F37" s="65">
        <v>3851.2</v>
      </c>
      <c r="G37" s="65">
        <v>31</v>
      </c>
      <c r="H37" s="67">
        <v>432.509</v>
      </c>
      <c r="I37" s="65">
        <f t="shared" si="0"/>
        <v>192908.5</v>
      </c>
      <c r="J37" s="73">
        <v>91739.90000000002</v>
      </c>
      <c r="K37" s="65">
        <v>167573.5</v>
      </c>
      <c r="L37" s="69" t="s">
        <v>4</v>
      </c>
      <c r="M37" s="65">
        <v>380.9</v>
      </c>
      <c r="N37" s="65">
        <v>20</v>
      </c>
      <c r="O37" s="70" t="s">
        <v>4</v>
      </c>
      <c r="P37" s="65">
        <v>4854.099999999999</v>
      </c>
      <c r="Q37" s="71" t="s">
        <v>4</v>
      </c>
      <c r="R37" s="72">
        <v>-71659.9</v>
      </c>
      <c r="S37" s="65">
        <f t="shared" si="1"/>
        <v>192908.50000000003</v>
      </c>
      <c r="T37" s="65">
        <v>628333.3</v>
      </c>
      <c r="U37" s="65">
        <f t="shared" si="2"/>
        <v>3.2571571496331164</v>
      </c>
    </row>
    <row r="38" spans="1:21" s="62" customFormat="1" ht="15.75">
      <c r="A38" s="64">
        <v>40391</v>
      </c>
      <c r="B38" s="65">
        <v>156374.2</v>
      </c>
      <c r="C38" s="65">
        <v>31485.7</v>
      </c>
      <c r="D38" s="65">
        <v>200.491</v>
      </c>
      <c r="E38" s="65">
        <v>1069.3000000000002</v>
      </c>
      <c r="F38" s="65">
        <v>3228.5799999999995</v>
      </c>
      <c r="G38" s="65">
        <v>38.2</v>
      </c>
      <c r="H38" s="67">
        <v>563.7090000000001</v>
      </c>
      <c r="I38" s="65">
        <f t="shared" si="0"/>
        <v>192960.18000000002</v>
      </c>
      <c r="J38" s="73">
        <v>83653</v>
      </c>
      <c r="K38" s="65">
        <v>162905.58000000002</v>
      </c>
      <c r="L38" s="69">
        <v>598.6</v>
      </c>
      <c r="M38" s="65">
        <v>380.9</v>
      </c>
      <c r="N38" s="65">
        <v>20</v>
      </c>
      <c r="O38" s="70" t="s">
        <v>4</v>
      </c>
      <c r="P38" s="65">
        <v>4806.8</v>
      </c>
      <c r="Q38" s="71" t="s">
        <v>4</v>
      </c>
      <c r="R38" s="72">
        <v>-59404.700000000004</v>
      </c>
      <c r="S38" s="65">
        <f t="shared" si="1"/>
        <v>192960.18</v>
      </c>
      <c r="T38" s="65">
        <v>635999.1799999999</v>
      </c>
      <c r="U38" s="65">
        <f t="shared" si="2"/>
        <v>3.296012576273508</v>
      </c>
    </row>
    <row r="39" spans="1:21" s="62" customFormat="1" ht="15.75">
      <c r="A39" s="64">
        <v>40422</v>
      </c>
      <c r="B39" s="65">
        <v>149317.2</v>
      </c>
      <c r="C39" s="65">
        <v>30479.4</v>
      </c>
      <c r="D39" s="65">
        <v>200.491</v>
      </c>
      <c r="E39" s="65">
        <v>1908.1999999999998</v>
      </c>
      <c r="F39" s="65">
        <v>1770.6000000000001</v>
      </c>
      <c r="G39" s="65">
        <v>19.4</v>
      </c>
      <c r="H39" s="67">
        <v>570.7090000000001</v>
      </c>
      <c r="I39" s="65">
        <f aca="true" t="shared" si="3" ref="I39:I70">SUM(B39:H39)</f>
        <v>184266.00000000003</v>
      </c>
      <c r="J39" s="73">
        <v>69547.10000000003</v>
      </c>
      <c r="K39" s="65">
        <v>171436.9</v>
      </c>
      <c r="L39" s="69" t="s">
        <v>4</v>
      </c>
      <c r="M39" s="65">
        <v>380.9</v>
      </c>
      <c r="N39" s="65">
        <v>20</v>
      </c>
      <c r="O39" s="70" t="s">
        <v>4</v>
      </c>
      <c r="P39" s="65">
        <v>4817.199999999999</v>
      </c>
      <c r="Q39" s="71">
        <v>-2000</v>
      </c>
      <c r="R39" s="72">
        <v>-59936.100000000006</v>
      </c>
      <c r="S39" s="65">
        <f aca="true" t="shared" si="4" ref="S39:S70">SUM(J39:R39)</f>
        <v>184266.00000000003</v>
      </c>
      <c r="T39" s="65">
        <v>637143.3</v>
      </c>
      <c r="U39" s="65">
        <f aca="true" t="shared" si="5" ref="U39:U70">T39/I39</f>
        <v>3.4577366415942166</v>
      </c>
    </row>
    <row r="40" spans="1:21" s="62" customFormat="1" ht="15.75">
      <c r="A40" s="64">
        <v>40452</v>
      </c>
      <c r="B40" s="65">
        <v>145288.6</v>
      </c>
      <c r="C40" s="65">
        <v>15265.400000000001</v>
      </c>
      <c r="D40" s="65">
        <v>0.491</v>
      </c>
      <c r="E40" s="65">
        <v>2831.3</v>
      </c>
      <c r="F40" s="65">
        <v>954.4999999999999</v>
      </c>
      <c r="G40" s="65">
        <v>16.5</v>
      </c>
      <c r="H40" s="67">
        <v>677.809</v>
      </c>
      <c r="I40" s="65">
        <f t="shared" si="3"/>
        <v>165034.6</v>
      </c>
      <c r="J40" s="73">
        <v>66483.80000000005</v>
      </c>
      <c r="K40" s="65">
        <v>149463.90000000002</v>
      </c>
      <c r="L40" s="69">
        <v>3740.2</v>
      </c>
      <c r="M40" s="65">
        <v>380.9</v>
      </c>
      <c r="N40" s="65">
        <v>20</v>
      </c>
      <c r="O40" s="70" t="s">
        <v>4</v>
      </c>
      <c r="P40" s="65">
        <v>4696.4</v>
      </c>
      <c r="Q40" s="71" t="s">
        <v>4</v>
      </c>
      <c r="R40" s="72">
        <v>-59750.600000000006</v>
      </c>
      <c r="S40" s="65">
        <f t="shared" si="4"/>
        <v>165034.60000000006</v>
      </c>
      <c r="T40" s="65">
        <v>628055.3</v>
      </c>
      <c r="U40" s="65">
        <f t="shared" si="5"/>
        <v>3.8055977352627877</v>
      </c>
    </row>
    <row r="41" spans="1:21" s="62" customFormat="1" ht="15.75">
      <c r="A41" s="64">
        <v>40483</v>
      </c>
      <c r="B41" s="65">
        <v>143026.9</v>
      </c>
      <c r="C41" s="65">
        <v>31831.5</v>
      </c>
      <c r="D41" s="65">
        <v>100.5</v>
      </c>
      <c r="E41" s="65">
        <v>3638.7</v>
      </c>
      <c r="F41" s="65">
        <v>1518.6</v>
      </c>
      <c r="G41" s="65">
        <v>22</v>
      </c>
      <c r="H41" s="67">
        <v>575.409</v>
      </c>
      <c r="I41" s="65">
        <f t="shared" si="3"/>
        <v>180713.60900000003</v>
      </c>
      <c r="J41" s="73">
        <v>74650.30000000005</v>
      </c>
      <c r="K41" s="65">
        <v>164159.80000000002</v>
      </c>
      <c r="L41" s="69" t="s">
        <v>4</v>
      </c>
      <c r="M41" s="65">
        <v>380.9</v>
      </c>
      <c r="N41" s="65">
        <v>20</v>
      </c>
      <c r="O41" s="70" t="s">
        <v>4</v>
      </c>
      <c r="P41" s="65">
        <v>4573</v>
      </c>
      <c r="Q41" s="71" t="s">
        <v>4</v>
      </c>
      <c r="R41" s="72">
        <v>-63070.4</v>
      </c>
      <c r="S41" s="65">
        <f t="shared" si="4"/>
        <v>180713.60000000006</v>
      </c>
      <c r="T41" s="65">
        <v>640335.809</v>
      </c>
      <c r="U41" s="65">
        <f t="shared" si="5"/>
        <v>3.5433734766483465</v>
      </c>
    </row>
    <row r="42" spans="1:21" s="62" customFormat="1" ht="15.75">
      <c r="A42" s="64">
        <v>40513</v>
      </c>
      <c r="B42" s="65">
        <v>155835.2</v>
      </c>
      <c r="C42" s="65">
        <v>47450.5</v>
      </c>
      <c r="D42" s="65">
        <v>2738.884497</v>
      </c>
      <c r="E42" s="65">
        <v>1428</v>
      </c>
      <c r="F42" s="65">
        <v>3735.6</v>
      </c>
      <c r="G42" s="65">
        <v>28.6</v>
      </c>
      <c r="H42" s="67">
        <v>422.0155030000001</v>
      </c>
      <c r="I42" s="65">
        <f t="shared" si="3"/>
        <v>211638.80000000002</v>
      </c>
      <c r="J42" s="73">
        <v>141613.59999999998</v>
      </c>
      <c r="K42" s="65">
        <v>150905.3</v>
      </c>
      <c r="L42" s="69" t="s">
        <v>4</v>
      </c>
      <c r="M42" s="65">
        <v>380.9</v>
      </c>
      <c r="N42" s="65">
        <v>20</v>
      </c>
      <c r="O42" s="70" t="s">
        <v>4</v>
      </c>
      <c r="P42" s="65">
        <v>4671.999999999999</v>
      </c>
      <c r="Q42" s="71">
        <v>-7000</v>
      </c>
      <c r="R42" s="72">
        <v>-78953</v>
      </c>
      <c r="S42" s="65">
        <f t="shared" si="4"/>
        <v>211638.8</v>
      </c>
      <c r="T42" s="65">
        <v>706363.915503</v>
      </c>
      <c r="U42" s="65">
        <f t="shared" si="5"/>
        <v>3.3375917624887306</v>
      </c>
    </row>
    <row r="43" spans="1:21" s="62" customFormat="1" ht="15.75">
      <c r="A43" s="64">
        <v>40544</v>
      </c>
      <c r="B43" s="65">
        <v>145536.5</v>
      </c>
      <c r="C43" s="65">
        <v>43841.1</v>
      </c>
      <c r="D43" s="65">
        <v>135.918432</v>
      </c>
      <c r="E43" s="65">
        <v>512.7</v>
      </c>
      <c r="F43" s="65">
        <v>1078.5</v>
      </c>
      <c r="G43" s="65">
        <v>56</v>
      </c>
      <c r="H43" s="67">
        <v>742.381568</v>
      </c>
      <c r="I43" s="65">
        <f t="shared" si="3"/>
        <v>191903.10000000003</v>
      </c>
      <c r="J43" s="73">
        <v>131446.90000000002</v>
      </c>
      <c r="K43" s="65">
        <v>126919.59999999999</v>
      </c>
      <c r="L43" s="65" t="s">
        <v>4</v>
      </c>
      <c r="M43" s="65">
        <v>380.9</v>
      </c>
      <c r="N43" s="65">
        <v>20</v>
      </c>
      <c r="O43" s="70" t="s">
        <v>4</v>
      </c>
      <c r="P43" s="65">
        <v>5574.399999999999</v>
      </c>
      <c r="Q43" s="69">
        <v>-8500</v>
      </c>
      <c r="R43" s="72">
        <v>-63938.7</v>
      </c>
      <c r="S43" s="65">
        <f t="shared" si="4"/>
        <v>191903.09999999998</v>
      </c>
      <c r="T43" s="65">
        <v>670982.581568</v>
      </c>
      <c r="U43" s="65">
        <f t="shared" si="5"/>
        <v>3.4964655681330834</v>
      </c>
    </row>
    <row r="44" spans="1:21" s="62" customFormat="1" ht="15.75">
      <c r="A44" s="64">
        <v>40575</v>
      </c>
      <c r="B44" s="65">
        <v>144843.3</v>
      </c>
      <c r="C44" s="65">
        <v>28928.1</v>
      </c>
      <c r="D44" s="65">
        <v>543</v>
      </c>
      <c r="E44" s="65">
        <v>1155.7999999999997</v>
      </c>
      <c r="F44" s="65">
        <v>1490.1</v>
      </c>
      <c r="G44" s="65">
        <v>36.7</v>
      </c>
      <c r="H44" s="67">
        <v>731</v>
      </c>
      <c r="I44" s="65">
        <f t="shared" si="3"/>
        <v>177728</v>
      </c>
      <c r="J44" s="73">
        <v>156264.40000000002</v>
      </c>
      <c r="K44" s="65">
        <v>83321.1</v>
      </c>
      <c r="L44" s="65">
        <v>1723.4</v>
      </c>
      <c r="M44" s="65">
        <v>380.9</v>
      </c>
      <c r="N44" s="65">
        <v>20</v>
      </c>
      <c r="O44" s="70" t="s">
        <v>4</v>
      </c>
      <c r="P44" s="65">
        <v>5574.599999999999</v>
      </c>
      <c r="Q44" s="69">
        <v>-3000</v>
      </c>
      <c r="R44" s="72">
        <v>-66556.4</v>
      </c>
      <c r="S44" s="65">
        <f t="shared" si="4"/>
        <v>177728.00000000003</v>
      </c>
      <c r="T44" s="65">
        <v>671842.2</v>
      </c>
      <c r="U44" s="65">
        <f t="shared" si="5"/>
        <v>3.7801708228303923</v>
      </c>
    </row>
    <row r="45" spans="1:21" s="62" customFormat="1" ht="15.75">
      <c r="A45" s="64">
        <v>40603</v>
      </c>
      <c r="B45" s="65">
        <v>149827.1</v>
      </c>
      <c r="C45" s="65">
        <v>39367.200000000004</v>
      </c>
      <c r="D45" s="65">
        <v>398.983712</v>
      </c>
      <c r="E45" s="65">
        <v>611.6</v>
      </c>
      <c r="F45" s="65">
        <v>2831.0000000000005</v>
      </c>
      <c r="G45" s="65">
        <v>92.9</v>
      </c>
      <c r="H45" s="67">
        <v>1004.016288</v>
      </c>
      <c r="I45" s="65">
        <f t="shared" si="3"/>
        <v>194132.80000000002</v>
      </c>
      <c r="J45" s="73">
        <v>143339.09999999998</v>
      </c>
      <c r="K45" s="65">
        <v>111050.6</v>
      </c>
      <c r="L45" s="65">
        <v>3410.3</v>
      </c>
      <c r="M45" s="65">
        <v>380.9</v>
      </c>
      <c r="N45" s="65">
        <v>20</v>
      </c>
      <c r="O45" s="70" t="s">
        <v>4</v>
      </c>
      <c r="P45" s="65">
        <v>5495.999999999999</v>
      </c>
      <c r="Q45" s="69">
        <v>-4500</v>
      </c>
      <c r="R45" s="72">
        <v>-65064.1</v>
      </c>
      <c r="S45" s="65">
        <f t="shared" si="4"/>
        <v>194132.79999999996</v>
      </c>
      <c r="T45" s="65">
        <v>692784.316288</v>
      </c>
      <c r="U45" s="65">
        <f t="shared" si="5"/>
        <v>3.5686103342042146</v>
      </c>
    </row>
    <row r="46" spans="1:21" s="62" customFormat="1" ht="15.75">
      <c r="A46" s="64">
        <v>40634</v>
      </c>
      <c r="B46" s="65">
        <v>154603.9</v>
      </c>
      <c r="C46" s="65">
        <v>34054.1</v>
      </c>
      <c r="D46" s="65">
        <v>647.1</v>
      </c>
      <c r="E46" s="65">
        <v>591.6</v>
      </c>
      <c r="F46" s="65">
        <v>6855.900000000001</v>
      </c>
      <c r="G46" s="65">
        <v>47.3</v>
      </c>
      <c r="H46" s="67">
        <v>872.3000000000001</v>
      </c>
      <c r="I46" s="65">
        <f t="shared" si="3"/>
        <v>197672.19999999998</v>
      </c>
      <c r="J46" s="73">
        <v>151581.59999999998</v>
      </c>
      <c r="K46" s="65">
        <v>102644.49999999999</v>
      </c>
      <c r="L46" s="65">
        <v>4017</v>
      </c>
      <c r="M46" s="65">
        <v>380.9</v>
      </c>
      <c r="N46" s="65">
        <v>20</v>
      </c>
      <c r="O46" s="70" t="s">
        <v>4</v>
      </c>
      <c r="P46" s="65">
        <v>5481.799999999999</v>
      </c>
      <c r="Q46" s="69" t="s">
        <v>4</v>
      </c>
      <c r="R46" s="72">
        <v>-66453.6</v>
      </c>
      <c r="S46" s="65">
        <f t="shared" si="4"/>
        <v>197672.19999999998</v>
      </c>
      <c r="T46" s="65">
        <v>699305.0000000001</v>
      </c>
      <c r="U46" s="65">
        <f t="shared" si="5"/>
        <v>3.5377002937185917</v>
      </c>
    </row>
    <row r="47" spans="1:21" s="62" customFormat="1" ht="15.75">
      <c r="A47" s="64">
        <v>40664</v>
      </c>
      <c r="B47" s="65">
        <v>159225.3</v>
      </c>
      <c r="C47" s="65">
        <v>26890.299999999996</v>
      </c>
      <c r="D47" s="65">
        <v>398.983712</v>
      </c>
      <c r="E47" s="65">
        <v>968.9000000000001</v>
      </c>
      <c r="F47" s="65">
        <v>4582.9</v>
      </c>
      <c r="G47" s="65">
        <v>124.5</v>
      </c>
      <c r="H47" s="67">
        <v>765.016288</v>
      </c>
      <c r="I47" s="65">
        <f t="shared" si="3"/>
        <v>192955.89999999997</v>
      </c>
      <c r="J47" s="73">
        <v>145435.50000000006</v>
      </c>
      <c r="K47" s="65">
        <v>101140.19999999998</v>
      </c>
      <c r="L47" s="65">
        <v>8670.3</v>
      </c>
      <c r="M47" s="65">
        <v>380.9</v>
      </c>
      <c r="N47" s="65">
        <v>20</v>
      </c>
      <c r="O47" s="70" t="s">
        <v>4</v>
      </c>
      <c r="P47" s="65">
        <v>5605.9</v>
      </c>
      <c r="Q47" s="69" t="s">
        <v>4</v>
      </c>
      <c r="R47" s="72">
        <v>-68296.90000000001</v>
      </c>
      <c r="S47" s="65">
        <f t="shared" si="4"/>
        <v>192955.90000000002</v>
      </c>
      <c r="T47" s="65">
        <v>704920.1162879999</v>
      </c>
      <c r="U47" s="65">
        <f t="shared" si="5"/>
        <v>3.6532705985564577</v>
      </c>
    </row>
    <row r="48" spans="1:21" s="62" customFormat="1" ht="15.75">
      <c r="A48" s="64">
        <v>40695</v>
      </c>
      <c r="B48" s="65">
        <v>172348.7</v>
      </c>
      <c r="C48" s="65">
        <v>27532.100000000002</v>
      </c>
      <c r="D48" s="65">
        <v>4490.491275</v>
      </c>
      <c r="E48" s="65">
        <v>1167.8999999999999</v>
      </c>
      <c r="F48" s="65">
        <v>4553.099999999999</v>
      </c>
      <c r="G48" s="65">
        <v>97</v>
      </c>
      <c r="H48" s="67">
        <v>801.5087249999997</v>
      </c>
      <c r="I48" s="65">
        <f t="shared" si="3"/>
        <v>210990.80000000002</v>
      </c>
      <c r="J48" s="73">
        <v>133383.10000000003</v>
      </c>
      <c r="K48" s="65">
        <v>115763.80000000005</v>
      </c>
      <c r="L48" s="65">
        <v>21978.1</v>
      </c>
      <c r="M48" s="65">
        <v>380.9</v>
      </c>
      <c r="N48" s="65">
        <v>20</v>
      </c>
      <c r="O48" s="70" t="s">
        <v>4</v>
      </c>
      <c r="P48" s="65">
        <v>5860.2</v>
      </c>
      <c r="Q48" s="69" t="s">
        <v>4</v>
      </c>
      <c r="R48" s="72">
        <v>-66395.3</v>
      </c>
      <c r="S48" s="65">
        <f t="shared" si="4"/>
        <v>210990.8000000001</v>
      </c>
      <c r="T48" s="65">
        <v>728615.808725</v>
      </c>
      <c r="U48" s="65">
        <f t="shared" si="5"/>
        <v>3.4533060622785445</v>
      </c>
    </row>
    <row r="49" spans="1:21" s="62" customFormat="1" ht="15.75">
      <c r="A49" s="64">
        <v>40725</v>
      </c>
      <c r="B49" s="65">
        <v>186362</v>
      </c>
      <c r="C49" s="65">
        <v>25164.7</v>
      </c>
      <c r="D49" s="65">
        <v>4881.352691</v>
      </c>
      <c r="E49" s="65">
        <v>913</v>
      </c>
      <c r="F49" s="65">
        <v>7643.699999999998</v>
      </c>
      <c r="G49" s="65">
        <v>97.7</v>
      </c>
      <c r="H49" s="67">
        <v>562.9473090000001</v>
      </c>
      <c r="I49" s="65">
        <f t="shared" si="3"/>
        <v>225625.40000000005</v>
      </c>
      <c r="J49" s="73">
        <v>119995.09999999998</v>
      </c>
      <c r="K49" s="65">
        <v>140073</v>
      </c>
      <c r="L49" s="65">
        <v>28323</v>
      </c>
      <c r="M49" s="65">
        <v>380.9</v>
      </c>
      <c r="N49" s="65">
        <v>20</v>
      </c>
      <c r="O49" s="70" t="s">
        <v>4</v>
      </c>
      <c r="P49" s="65">
        <v>5863.3</v>
      </c>
      <c r="Q49" s="69" t="s">
        <v>4</v>
      </c>
      <c r="R49" s="72">
        <v>-69029.9</v>
      </c>
      <c r="S49" s="65">
        <f t="shared" si="4"/>
        <v>225625.4</v>
      </c>
      <c r="T49" s="65">
        <v>763394.208420111</v>
      </c>
      <c r="U49" s="65">
        <f t="shared" si="5"/>
        <v>3.3834586372815774</v>
      </c>
    </row>
    <row r="50" spans="1:21" s="62" customFormat="1" ht="15.75">
      <c r="A50" s="64">
        <v>40756</v>
      </c>
      <c r="B50" s="65">
        <v>180063.1</v>
      </c>
      <c r="C50" s="65">
        <v>37662.4</v>
      </c>
      <c r="D50" s="65">
        <v>181.68308100000002</v>
      </c>
      <c r="E50" s="65">
        <v>1275.4</v>
      </c>
      <c r="F50" s="65">
        <v>1958.6</v>
      </c>
      <c r="G50" s="65">
        <v>83.5</v>
      </c>
      <c r="H50" s="67">
        <v>481.61691899999994</v>
      </c>
      <c r="I50" s="65">
        <f t="shared" si="3"/>
        <v>221706.3</v>
      </c>
      <c r="J50" s="73">
        <v>101092.90000000002</v>
      </c>
      <c r="K50" s="65">
        <v>148332.30000000002</v>
      </c>
      <c r="L50" s="65">
        <v>30627.2</v>
      </c>
      <c r="M50" s="65">
        <v>380.9</v>
      </c>
      <c r="N50" s="65">
        <v>20</v>
      </c>
      <c r="O50" s="70" t="s">
        <v>4</v>
      </c>
      <c r="P50" s="65">
        <v>5886.400000000001</v>
      </c>
      <c r="Q50" s="69" t="s">
        <v>4</v>
      </c>
      <c r="R50" s="72">
        <v>-64633.4</v>
      </c>
      <c r="S50" s="65">
        <f t="shared" si="4"/>
        <v>221706.30000000008</v>
      </c>
      <c r="T50" s="65">
        <v>757596.139141222</v>
      </c>
      <c r="U50" s="65">
        <f t="shared" si="5"/>
        <v>3.417115973435225</v>
      </c>
    </row>
    <row r="51" spans="1:21" s="62" customFormat="1" ht="15.75">
      <c r="A51" s="64">
        <v>40787</v>
      </c>
      <c r="B51" s="65">
        <v>168466.4</v>
      </c>
      <c r="C51" s="65">
        <v>33244.3</v>
      </c>
      <c r="D51" s="65">
        <v>2484.4</v>
      </c>
      <c r="E51" s="65">
        <v>1493.8</v>
      </c>
      <c r="F51" s="65">
        <v>1412.9000000000003</v>
      </c>
      <c r="G51" s="65">
        <v>37.9</v>
      </c>
      <c r="H51" s="67">
        <v>500.5999999999999</v>
      </c>
      <c r="I51" s="65">
        <f t="shared" si="3"/>
        <v>207640.3</v>
      </c>
      <c r="J51" s="73">
        <v>81241.40000000002</v>
      </c>
      <c r="K51" s="65">
        <v>149815.80000000002</v>
      </c>
      <c r="L51" s="65">
        <v>41214.8</v>
      </c>
      <c r="M51" s="65">
        <v>380.9</v>
      </c>
      <c r="N51" s="65">
        <v>20</v>
      </c>
      <c r="O51" s="70" t="s">
        <v>4</v>
      </c>
      <c r="P51" s="65">
        <v>6248.699999999999</v>
      </c>
      <c r="Q51" s="69" t="s">
        <v>4</v>
      </c>
      <c r="R51" s="72">
        <v>-71281.3</v>
      </c>
      <c r="S51" s="65">
        <f t="shared" si="4"/>
        <v>207640.3000000001</v>
      </c>
      <c r="T51" s="65">
        <v>726660.4833333334</v>
      </c>
      <c r="U51" s="65">
        <f t="shared" si="5"/>
        <v>3.49961198925899</v>
      </c>
    </row>
    <row r="52" spans="1:21" s="62" customFormat="1" ht="15.75">
      <c r="A52" s="64">
        <v>40817</v>
      </c>
      <c r="B52" s="65">
        <v>163042.7</v>
      </c>
      <c r="C52" s="65">
        <v>23626.300000000003</v>
      </c>
      <c r="D52" s="65">
        <v>2788.4236020000003</v>
      </c>
      <c r="E52" s="65">
        <v>931.2</v>
      </c>
      <c r="F52" s="65">
        <v>2651.1000000000004</v>
      </c>
      <c r="G52" s="65">
        <v>25.6</v>
      </c>
      <c r="H52" s="67">
        <v>1386.4763980000002</v>
      </c>
      <c r="I52" s="65">
        <f t="shared" si="3"/>
        <v>194451.80000000002</v>
      </c>
      <c r="J52" s="73">
        <v>61605.00000000006</v>
      </c>
      <c r="K52" s="65">
        <v>165574.1</v>
      </c>
      <c r="L52" s="65">
        <v>33892.3</v>
      </c>
      <c r="M52" s="65">
        <v>380.9</v>
      </c>
      <c r="N52" s="65">
        <v>20</v>
      </c>
      <c r="O52" s="70" t="s">
        <v>4</v>
      </c>
      <c r="P52" s="65">
        <v>6149.499999999999</v>
      </c>
      <c r="Q52" s="69" t="s">
        <v>4</v>
      </c>
      <c r="R52" s="72">
        <v>-73170</v>
      </c>
      <c r="S52" s="65">
        <f t="shared" si="4"/>
        <v>194451.80000000005</v>
      </c>
      <c r="T52" s="65">
        <v>731234.3208424444</v>
      </c>
      <c r="U52" s="65">
        <f t="shared" si="5"/>
        <v>3.7604913960294755</v>
      </c>
    </row>
    <row r="53" spans="1:21" s="62" customFormat="1" ht="15.75">
      <c r="A53" s="64">
        <v>40848</v>
      </c>
      <c r="B53" s="65">
        <v>157871.5</v>
      </c>
      <c r="C53" s="65">
        <v>19725.6</v>
      </c>
      <c r="D53" s="65">
        <v>2419.593216</v>
      </c>
      <c r="E53" s="65">
        <v>782.7</v>
      </c>
      <c r="F53" s="65">
        <v>2706.9</v>
      </c>
      <c r="G53" s="65">
        <v>9.1</v>
      </c>
      <c r="H53" s="67">
        <v>435.90678400000024</v>
      </c>
      <c r="I53" s="65">
        <f t="shared" si="3"/>
        <v>183951.30000000002</v>
      </c>
      <c r="J53" s="73">
        <v>59710.29999999999</v>
      </c>
      <c r="K53" s="65">
        <v>152674.5</v>
      </c>
      <c r="L53" s="65">
        <v>39419.1</v>
      </c>
      <c r="M53" s="65">
        <v>380.9</v>
      </c>
      <c r="N53" s="65">
        <v>20</v>
      </c>
      <c r="O53" s="70" t="s">
        <v>4</v>
      </c>
      <c r="P53" s="65">
        <v>6130.8</v>
      </c>
      <c r="Q53" s="69" t="s">
        <v>4</v>
      </c>
      <c r="R53" s="72">
        <v>-74384.3</v>
      </c>
      <c r="S53" s="65">
        <f t="shared" si="4"/>
        <v>183951.3</v>
      </c>
      <c r="T53" s="65">
        <v>716747.6123395556</v>
      </c>
      <c r="U53" s="65">
        <f t="shared" si="5"/>
        <v>3.896398733466714</v>
      </c>
    </row>
    <row r="54" spans="1:21" s="62" customFormat="1" ht="15.75">
      <c r="A54" s="64">
        <v>40878</v>
      </c>
      <c r="B54" s="65">
        <v>170106</v>
      </c>
      <c r="C54" s="65">
        <v>34979.700000000004</v>
      </c>
      <c r="D54" s="65">
        <v>500</v>
      </c>
      <c r="E54" s="65">
        <v>278</v>
      </c>
      <c r="F54" s="65">
        <v>5041.499999999998</v>
      </c>
      <c r="G54" s="65">
        <v>23.6</v>
      </c>
      <c r="H54" s="67">
        <v>397.3</v>
      </c>
      <c r="I54" s="65">
        <f t="shared" si="3"/>
        <v>211326.1</v>
      </c>
      <c r="J54" s="73">
        <v>82293.99999999994</v>
      </c>
      <c r="K54" s="65">
        <v>211644.80000000005</v>
      </c>
      <c r="L54" s="65">
        <v>25301.3</v>
      </c>
      <c r="M54" s="65">
        <v>380.9</v>
      </c>
      <c r="N54" s="65">
        <v>20</v>
      </c>
      <c r="O54" s="70" t="s">
        <v>4</v>
      </c>
      <c r="P54" s="65">
        <v>6184.2</v>
      </c>
      <c r="Q54" s="69" t="s">
        <v>4</v>
      </c>
      <c r="R54" s="72">
        <v>-114499.1</v>
      </c>
      <c r="S54" s="65">
        <f t="shared" si="4"/>
        <v>211326.1</v>
      </c>
      <c r="T54" s="65">
        <v>755801.5666666665</v>
      </c>
      <c r="U54" s="65">
        <f t="shared" si="5"/>
        <v>3.576470519574565</v>
      </c>
    </row>
    <row r="55" spans="1:21" s="62" customFormat="1" ht="15.75">
      <c r="A55" s="64">
        <v>40909</v>
      </c>
      <c r="B55" s="65">
        <v>162981.5</v>
      </c>
      <c r="C55" s="65">
        <v>18924</v>
      </c>
      <c r="D55" s="65">
        <v>2450.4688410000003</v>
      </c>
      <c r="E55" s="65">
        <v>543.2</v>
      </c>
      <c r="F55" s="65">
        <v>2058.7000000000007</v>
      </c>
      <c r="G55" s="65">
        <v>44.3</v>
      </c>
      <c r="H55" s="67">
        <v>2583.631158999999</v>
      </c>
      <c r="I55" s="65">
        <f t="shared" si="3"/>
        <v>189585.80000000002</v>
      </c>
      <c r="J55" s="73">
        <v>112890.80000000016</v>
      </c>
      <c r="K55" s="65">
        <v>137839.40000000002</v>
      </c>
      <c r="L55" s="69">
        <v>17713.4</v>
      </c>
      <c r="M55" s="69">
        <v>380.9</v>
      </c>
      <c r="N55" s="65">
        <v>20</v>
      </c>
      <c r="O55" s="70" t="s">
        <v>4</v>
      </c>
      <c r="P55" s="65">
        <v>7026.9</v>
      </c>
      <c r="Q55" s="71" t="s">
        <v>4</v>
      </c>
      <c r="R55" s="72">
        <v>-86285.6</v>
      </c>
      <c r="S55" s="65">
        <f t="shared" si="4"/>
        <v>189585.80000000025</v>
      </c>
      <c r="T55" s="65">
        <v>751114.8589367779</v>
      </c>
      <c r="U55" s="65">
        <f t="shared" si="5"/>
        <v>3.9618729827696897</v>
      </c>
    </row>
    <row r="56" spans="1:21" s="62" customFormat="1" ht="15.75">
      <c r="A56" s="64">
        <v>40940</v>
      </c>
      <c r="B56" s="65">
        <v>164099.6</v>
      </c>
      <c r="C56" s="65">
        <v>29919</v>
      </c>
      <c r="D56" s="65">
        <v>520.8620239999999</v>
      </c>
      <c r="E56" s="65">
        <v>1147.6</v>
      </c>
      <c r="F56" s="65">
        <v>3279.3</v>
      </c>
      <c r="G56" s="65">
        <v>44.3</v>
      </c>
      <c r="H56" s="67">
        <v>511.93797600000005</v>
      </c>
      <c r="I56" s="65">
        <f t="shared" si="3"/>
        <v>199522.59999999998</v>
      </c>
      <c r="J56" s="73">
        <v>98423.89999999997</v>
      </c>
      <c r="K56" s="65">
        <v>143263.60000000003</v>
      </c>
      <c r="L56" s="69">
        <v>29586.1</v>
      </c>
      <c r="M56" s="69">
        <v>380.9</v>
      </c>
      <c r="N56" s="65">
        <v>20</v>
      </c>
      <c r="O56" s="70" t="s">
        <v>4</v>
      </c>
      <c r="P56" s="65">
        <v>7177.899999999999</v>
      </c>
      <c r="Q56" s="71" t="s">
        <v>4</v>
      </c>
      <c r="R56" s="72">
        <v>-79329.8</v>
      </c>
      <c r="S56" s="65">
        <f t="shared" si="4"/>
        <v>199522.60000000003</v>
      </c>
      <c r="T56" s="65">
        <v>752007.526864889</v>
      </c>
      <c r="U56" s="65">
        <f t="shared" si="5"/>
        <v>3.769034319244482</v>
      </c>
    </row>
    <row r="57" spans="1:21" s="62" customFormat="1" ht="15.75">
      <c r="A57" s="64">
        <v>40969</v>
      </c>
      <c r="B57" s="65">
        <v>165509.4</v>
      </c>
      <c r="C57" s="65">
        <v>23200.9</v>
      </c>
      <c r="D57" s="65">
        <v>444.90000000000003</v>
      </c>
      <c r="E57" s="65">
        <v>480.40000000000003</v>
      </c>
      <c r="F57" s="65">
        <v>1503.9000000000003</v>
      </c>
      <c r="G57" s="65">
        <v>18.3</v>
      </c>
      <c r="H57" s="67">
        <v>2529.8</v>
      </c>
      <c r="I57" s="65">
        <f t="shared" si="3"/>
        <v>193687.59999999995</v>
      </c>
      <c r="J57" s="73">
        <v>67729.1000000001</v>
      </c>
      <c r="K57" s="65">
        <v>164340</v>
      </c>
      <c r="L57" s="69">
        <v>31811.4</v>
      </c>
      <c r="M57" s="69">
        <v>380.9</v>
      </c>
      <c r="N57" s="65">
        <v>20</v>
      </c>
      <c r="O57" s="70" t="s">
        <v>4</v>
      </c>
      <c r="P57" s="65">
        <v>7120.7</v>
      </c>
      <c r="Q57" s="71" t="s">
        <v>4</v>
      </c>
      <c r="R57" s="72">
        <v>-77714.5</v>
      </c>
      <c r="S57" s="65">
        <f t="shared" si="4"/>
        <v>193687.60000000015</v>
      </c>
      <c r="T57" s="65">
        <v>742473.75</v>
      </c>
      <c r="U57" s="65">
        <f t="shared" si="5"/>
        <v>3.8333571689669355</v>
      </c>
    </row>
    <row r="58" spans="1:21" s="62" customFormat="1" ht="15.75">
      <c r="A58" s="64">
        <v>41000</v>
      </c>
      <c r="B58" s="65">
        <v>168178.8</v>
      </c>
      <c r="C58" s="65">
        <v>28326</v>
      </c>
      <c r="D58" s="65">
        <v>3254.9822990000002</v>
      </c>
      <c r="E58" s="65">
        <v>525</v>
      </c>
      <c r="F58" s="65">
        <v>2712.4</v>
      </c>
      <c r="G58" s="65">
        <v>14.3</v>
      </c>
      <c r="H58" s="67">
        <v>569.2177009999996</v>
      </c>
      <c r="I58" s="65">
        <f t="shared" si="3"/>
        <v>203580.69999999995</v>
      </c>
      <c r="J58" s="73">
        <v>57855.80000000005</v>
      </c>
      <c r="K58" s="65">
        <v>170991.3</v>
      </c>
      <c r="L58" s="69">
        <v>44281</v>
      </c>
      <c r="M58" s="69">
        <v>380.9</v>
      </c>
      <c r="N58" s="65">
        <v>20</v>
      </c>
      <c r="O58" s="70" t="s">
        <v>4</v>
      </c>
      <c r="P58" s="65">
        <v>7227.2</v>
      </c>
      <c r="Q58" s="71" t="s">
        <v>4</v>
      </c>
      <c r="R58" s="72">
        <v>-77175.5</v>
      </c>
      <c r="S58" s="65">
        <f t="shared" si="4"/>
        <v>203580.70000000007</v>
      </c>
      <c r="T58" s="65">
        <v>754201.1288121111</v>
      </c>
      <c r="U58" s="65">
        <f t="shared" si="5"/>
        <v>3.704678924928106</v>
      </c>
    </row>
    <row r="59" spans="1:21" s="62" customFormat="1" ht="15.75">
      <c r="A59" s="64">
        <v>41030</v>
      </c>
      <c r="B59" s="65">
        <v>167039</v>
      </c>
      <c r="C59" s="65">
        <v>27641.7</v>
      </c>
      <c r="D59" s="65">
        <v>3068.665312</v>
      </c>
      <c r="E59" s="65">
        <v>365.90000000000003</v>
      </c>
      <c r="F59" s="65">
        <v>6215.7</v>
      </c>
      <c r="G59" s="65">
        <v>64.6</v>
      </c>
      <c r="H59" s="67">
        <v>468.33468800000037</v>
      </c>
      <c r="I59" s="65">
        <f t="shared" si="3"/>
        <v>204863.90000000002</v>
      </c>
      <c r="J59" s="73">
        <v>60535.40000000008</v>
      </c>
      <c r="K59" s="65">
        <v>164633.69999999995</v>
      </c>
      <c r="L59" s="69">
        <v>51288.8</v>
      </c>
      <c r="M59" s="69" t="s">
        <v>4</v>
      </c>
      <c r="N59" s="65">
        <v>20</v>
      </c>
      <c r="O59" s="70" t="s">
        <v>4</v>
      </c>
      <c r="P59" s="65">
        <v>7332.599999999999</v>
      </c>
      <c r="Q59" s="71" t="s">
        <v>4</v>
      </c>
      <c r="R59" s="72">
        <v>-78946.6</v>
      </c>
      <c r="S59" s="65">
        <f t="shared" si="4"/>
        <v>204863.9</v>
      </c>
      <c r="T59" s="65">
        <v>743975.0069102221</v>
      </c>
      <c r="U59" s="65">
        <f t="shared" si="5"/>
        <v>3.6315573749705146</v>
      </c>
    </row>
    <row r="60" spans="1:21" s="62" customFormat="1" ht="15.75">
      <c r="A60" s="64">
        <v>41061</v>
      </c>
      <c r="B60" s="65">
        <v>183642.4</v>
      </c>
      <c r="C60" s="65">
        <v>27850.7</v>
      </c>
      <c r="D60" s="65">
        <v>989.7638159999999</v>
      </c>
      <c r="E60" s="65">
        <v>1363.6</v>
      </c>
      <c r="F60" s="65">
        <v>3705.5</v>
      </c>
      <c r="G60" s="65">
        <v>10</v>
      </c>
      <c r="H60" s="67">
        <v>373.03618400000005</v>
      </c>
      <c r="I60" s="65">
        <f t="shared" si="3"/>
        <v>217935</v>
      </c>
      <c r="J60" s="73">
        <v>49308</v>
      </c>
      <c r="K60" s="65">
        <v>186067.59999999998</v>
      </c>
      <c r="L60" s="69">
        <v>60598.8</v>
      </c>
      <c r="M60" s="69" t="s">
        <v>4</v>
      </c>
      <c r="N60" s="65">
        <v>20</v>
      </c>
      <c r="O60" s="70" t="s">
        <v>4</v>
      </c>
      <c r="P60" s="65">
        <v>7454</v>
      </c>
      <c r="Q60" s="71" t="s">
        <v>4</v>
      </c>
      <c r="R60" s="72">
        <v>-85513.4</v>
      </c>
      <c r="S60" s="65">
        <f t="shared" si="4"/>
        <v>217934.99999999997</v>
      </c>
      <c r="T60" s="65">
        <v>765737.4695173332</v>
      </c>
      <c r="U60" s="65">
        <f t="shared" si="5"/>
        <v>3.5136048340896746</v>
      </c>
    </row>
    <row r="61" spans="1:21" s="62" customFormat="1" ht="15.75">
      <c r="A61" s="64">
        <v>41091</v>
      </c>
      <c r="B61" s="65">
        <v>191205.6</v>
      </c>
      <c r="C61" s="65">
        <v>34620.6</v>
      </c>
      <c r="D61" s="65">
        <v>1122.080544</v>
      </c>
      <c r="E61" s="65">
        <v>1745.6999999999998</v>
      </c>
      <c r="F61" s="65">
        <v>2790.1000000000004</v>
      </c>
      <c r="G61" s="65">
        <v>6.4</v>
      </c>
      <c r="H61" s="67">
        <v>449.81945599999995</v>
      </c>
      <c r="I61" s="65">
        <f t="shared" si="3"/>
        <v>231940.30000000002</v>
      </c>
      <c r="J61" s="73">
        <v>46872.80000000005</v>
      </c>
      <c r="K61" s="65">
        <v>206962.8</v>
      </c>
      <c r="L61" s="69">
        <v>53762</v>
      </c>
      <c r="M61" s="69" t="s">
        <v>4</v>
      </c>
      <c r="N61" s="65">
        <v>20</v>
      </c>
      <c r="O61" s="70" t="s">
        <v>4</v>
      </c>
      <c r="P61" s="65">
        <v>7549.599999999999</v>
      </c>
      <c r="Q61" s="71" t="s">
        <v>4</v>
      </c>
      <c r="R61" s="72">
        <v>-83226.9</v>
      </c>
      <c r="S61" s="65">
        <f t="shared" si="4"/>
        <v>231940.30000000002</v>
      </c>
      <c r="T61" s="65">
        <v>786457.4305671111</v>
      </c>
      <c r="U61" s="65">
        <f t="shared" si="5"/>
        <v>3.39077525797419</v>
      </c>
    </row>
    <row r="62" spans="1:21" s="62" customFormat="1" ht="15.75">
      <c r="A62" s="64">
        <v>41122</v>
      </c>
      <c r="B62" s="65">
        <v>196035.5</v>
      </c>
      <c r="C62" s="65">
        <v>27931.4</v>
      </c>
      <c r="D62" s="65">
        <v>992.753568</v>
      </c>
      <c r="E62" s="65">
        <v>1485.5</v>
      </c>
      <c r="F62" s="65">
        <v>3236.7999999999997</v>
      </c>
      <c r="G62" s="65">
        <v>17.3</v>
      </c>
      <c r="H62" s="67">
        <v>298.046432</v>
      </c>
      <c r="I62" s="65">
        <f t="shared" si="3"/>
        <v>229997.29999999996</v>
      </c>
      <c r="J62" s="73">
        <v>39580.20000000001</v>
      </c>
      <c r="K62" s="65">
        <v>221346.3</v>
      </c>
      <c r="L62" s="69">
        <v>40499.3</v>
      </c>
      <c r="M62" s="69" t="s">
        <v>4</v>
      </c>
      <c r="N62" s="65">
        <v>20</v>
      </c>
      <c r="O62" s="70" t="s">
        <v>4</v>
      </c>
      <c r="P62" s="65">
        <v>7681.7</v>
      </c>
      <c r="Q62" s="71" t="s">
        <v>4</v>
      </c>
      <c r="R62" s="72">
        <v>-79130.2</v>
      </c>
      <c r="S62" s="65">
        <f t="shared" si="4"/>
        <v>229997.3</v>
      </c>
      <c r="T62" s="65">
        <v>817967.6353208888</v>
      </c>
      <c r="U62" s="65">
        <f t="shared" si="5"/>
        <v>3.556422772445107</v>
      </c>
    </row>
    <row r="63" spans="1:21" s="62" customFormat="1" ht="15.75">
      <c r="A63" s="64">
        <v>41153</v>
      </c>
      <c r="B63" s="65">
        <v>184428.3</v>
      </c>
      <c r="C63" s="65">
        <v>32797.5</v>
      </c>
      <c r="D63" s="65">
        <v>289.7</v>
      </c>
      <c r="E63" s="65">
        <v>1441.2</v>
      </c>
      <c r="F63" s="65">
        <v>1869.8</v>
      </c>
      <c r="G63" s="65">
        <v>12.8</v>
      </c>
      <c r="H63" s="67">
        <v>334.9</v>
      </c>
      <c r="I63" s="65">
        <f t="shared" si="3"/>
        <v>221174.19999999998</v>
      </c>
      <c r="J63" s="73">
        <v>55414.5</v>
      </c>
      <c r="K63" s="65">
        <v>208067.1</v>
      </c>
      <c r="L63" s="69">
        <v>29808.6</v>
      </c>
      <c r="M63" s="69" t="s">
        <v>4</v>
      </c>
      <c r="N63" s="65">
        <v>20</v>
      </c>
      <c r="O63" s="70" t="s">
        <v>4</v>
      </c>
      <c r="P63" s="65">
        <v>8060.7</v>
      </c>
      <c r="Q63" s="71" t="s">
        <v>4</v>
      </c>
      <c r="R63" s="72">
        <v>-80196.70000000001</v>
      </c>
      <c r="S63" s="65">
        <f t="shared" si="4"/>
        <v>221174.19999999995</v>
      </c>
      <c r="T63" s="65">
        <v>809062.7666666668</v>
      </c>
      <c r="U63" s="65">
        <f t="shared" si="5"/>
        <v>3.658034104640898</v>
      </c>
    </row>
    <row r="64" spans="1:21" s="62" customFormat="1" ht="15.75">
      <c r="A64" s="64">
        <v>41183</v>
      </c>
      <c r="B64" s="65">
        <v>180543.7</v>
      </c>
      <c r="C64" s="65">
        <v>38998.9</v>
      </c>
      <c r="D64" s="65">
        <v>4830.7</v>
      </c>
      <c r="E64" s="65">
        <v>2876.3</v>
      </c>
      <c r="F64" s="65">
        <v>6487.900000000001</v>
      </c>
      <c r="G64" s="65">
        <v>24.3</v>
      </c>
      <c r="H64" s="67">
        <v>419.2</v>
      </c>
      <c r="I64" s="65">
        <f t="shared" si="3"/>
        <v>234181</v>
      </c>
      <c r="J64" s="73">
        <v>50733.300000000105</v>
      </c>
      <c r="K64" s="65">
        <v>233205.7</v>
      </c>
      <c r="L64" s="69">
        <v>15843.6</v>
      </c>
      <c r="M64" s="69" t="s">
        <v>4</v>
      </c>
      <c r="N64" s="65">
        <v>20</v>
      </c>
      <c r="O64" s="70" t="s">
        <v>4</v>
      </c>
      <c r="P64" s="65">
        <v>8140.9</v>
      </c>
      <c r="Q64" s="71" t="s">
        <v>4</v>
      </c>
      <c r="R64" s="72">
        <v>-73762.5</v>
      </c>
      <c r="S64" s="65">
        <f t="shared" si="4"/>
        <v>234181.00000000012</v>
      </c>
      <c r="T64" s="65">
        <v>816104.3444444445</v>
      </c>
      <c r="U64" s="65">
        <f t="shared" si="5"/>
        <v>3.484929795519041</v>
      </c>
    </row>
    <row r="65" spans="1:21" s="62" customFormat="1" ht="15.75">
      <c r="A65" s="64">
        <v>41214</v>
      </c>
      <c r="B65" s="65">
        <v>180263.8</v>
      </c>
      <c r="C65" s="65">
        <v>44006.6</v>
      </c>
      <c r="D65" s="65">
        <v>3861.3</v>
      </c>
      <c r="E65" s="65">
        <v>3435.2999999999997</v>
      </c>
      <c r="F65" s="65">
        <v>7826.4</v>
      </c>
      <c r="G65" s="65">
        <v>33</v>
      </c>
      <c r="H65" s="67">
        <v>611</v>
      </c>
      <c r="I65" s="65">
        <f t="shared" si="3"/>
        <v>240037.39999999997</v>
      </c>
      <c r="J65" s="73">
        <v>50395</v>
      </c>
      <c r="K65" s="65">
        <v>251672.2</v>
      </c>
      <c r="L65" s="69">
        <v>9108</v>
      </c>
      <c r="M65" s="69" t="s">
        <v>4</v>
      </c>
      <c r="N65" s="65">
        <v>20</v>
      </c>
      <c r="O65" s="70" t="s">
        <v>4</v>
      </c>
      <c r="P65" s="65">
        <v>8109.4</v>
      </c>
      <c r="Q65" s="71" t="s">
        <v>4</v>
      </c>
      <c r="R65" s="72">
        <v>-79267.2</v>
      </c>
      <c r="S65" s="65">
        <f t="shared" si="4"/>
        <v>240037.40000000002</v>
      </c>
      <c r="T65" s="65">
        <v>827421.6222222222</v>
      </c>
      <c r="U65" s="65">
        <f t="shared" si="5"/>
        <v>3.447052926844826</v>
      </c>
    </row>
    <row r="66" spans="1:21" s="62" customFormat="1" ht="15.75">
      <c r="A66" s="64">
        <v>41244</v>
      </c>
      <c r="B66" s="65">
        <v>198246.9</v>
      </c>
      <c r="C66" s="65">
        <v>39879.9</v>
      </c>
      <c r="D66" s="65">
        <v>22413.6</v>
      </c>
      <c r="E66" s="65">
        <v>2827.5</v>
      </c>
      <c r="F66" s="65">
        <v>3234.3</v>
      </c>
      <c r="G66" s="65">
        <v>14.5</v>
      </c>
      <c r="H66" s="67">
        <v>669.4</v>
      </c>
      <c r="I66" s="65">
        <f t="shared" si="3"/>
        <v>267286.10000000003</v>
      </c>
      <c r="J66" s="73">
        <v>66928.90000000002</v>
      </c>
      <c r="K66" s="65">
        <v>285507.4</v>
      </c>
      <c r="L66" s="69" t="s">
        <v>4</v>
      </c>
      <c r="M66" s="69" t="s">
        <v>4</v>
      </c>
      <c r="N66" s="65">
        <v>20</v>
      </c>
      <c r="O66" s="70" t="s">
        <v>4</v>
      </c>
      <c r="P66" s="65">
        <v>8125.5</v>
      </c>
      <c r="Q66" s="71">
        <v>-6800</v>
      </c>
      <c r="R66" s="72">
        <v>-86495.70000000001</v>
      </c>
      <c r="S66" s="65">
        <f t="shared" si="4"/>
        <v>267286.10000000003</v>
      </c>
      <c r="T66" s="65">
        <v>877253.3</v>
      </c>
      <c r="U66" s="65">
        <f t="shared" si="5"/>
        <v>3.282076022658866</v>
      </c>
    </row>
    <row r="67" spans="1:21" s="62" customFormat="1" ht="15.75">
      <c r="A67" s="64">
        <v>41275</v>
      </c>
      <c r="B67" s="65">
        <v>182477.4</v>
      </c>
      <c r="C67" s="65">
        <v>41549.8</v>
      </c>
      <c r="D67" s="65">
        <v>5031.2</v>
      </c>
      <c r="E67" s="65">
        <v>3714.3</v>
      </c>
      <c r="F67" s="65">
        <v>1475.9</v>
      </c>
      <c r="G67" s="65">
        <v>48.3</v>
      </c>
      <c r="H67" s="67">
        <v>1113.7</v>
      </c>
      <c r="I67" s="65">
        <f t="shared" si="3"/>
        <v>235410.6</v>
      </c>
      <c r="J67" s="73">
        <v>55782.70000000001</v>
      </c>
      <c r="K67" s="65">
        <v>246528.49999999997</v>
      </c>
      <c r="L67" s="69" t="s">
        <v>4</v>
      </c>
      <c r="M67" s="69" t="s">
        <v>4</v>
      </c>
      <c r="N67" s="65">
        <v>20</v>
      </c>
      <c r="O67" s="70" t="s">
        <v>4</v>
      </c>
      <c r="P67" s="65">
        <v>8854.1</v>
      </c>
      <c r="Q67" s="69" t="s">
        <v>4</v>
      </c>
      <c r="R67" s="72">
        <v>-75774.7</v>
      </c>
      <c r="S67" s="65">
        <f t="shared" si="4"/>
        <v>235410.59999999992</v>
      </c>
      <c r="T67" s="65">
        <v>870333.6916666667</v>
      </c>
      <c r="U67" s="65">
        <f t="shared" si="5"/>
        <v>3.6970879461955692</v>
      </c>
    </row>
    <row r="68" spans="1:21" s="62" customFormat="1" ht="15.75">
      <c r="A68" s="64">
        <v>41306</v>
      </c>
      <c r="B68" s="65">
        <v>188192.1</v>
      </c>
      <c r="C68" s="65">
        <v>46670</v>
      </c>
      <c r="D68" s="65">
        <v>11248.3</v>
      </c>
      <c r="E68" s="65">
        <v>2782.2</v>
      </c>
      <c r="F68" s="65">
        <v>6918.699999999999</v>
      </c>
      <c r="G68" s="65">
        <v>41.8</v>
      </c>
      <c r="H68" s="67">
        <v>415.1</v>
      </c>
      <c r="I68" s="65">
        <f t="shared" si="3"/>
        <v>256268.2</v>
      </c>
      <c r="J68" s="73">
        <v>97419.49999999988</v>
      </c>
      <c r="K68" s="65">
        <v>214938.4</v>
      </c>
      <c r="L68" s="69">
        <v>11804.3</v>
      </c>
      <c r="M68" s="69" t="s">
        <v>4</v>
      </c>
      <c r="N68" s="65">
        <v>20</v>
      </c>
      <c r="O68" s="70" t="s">
        <v>4</v>
      </c>
      <c r="P68" s="65">
        <v>8848.3</v>
      </c>
      <c r="Q68" s="69" t="s">
        <v>4</v>
      </c>
      <c r="R68" s="72">
        <v>-76762.3</v>
      </c>
      <c r="S68" s="65">
        <f t="shared" si="4"/>
        <v>256268.1999999999</v>
      </c>
      <c r="T68" s="65">
        <v>894947.4833333333</v>
      </c>
      <c r="U68" s="65">
        <f t="shared" si="5"/>
        <v>3.49222995023703</v>
      </c>
    </row>
    <row r="69" spans="1:21" s="62" customFormat="1" ht="15.75">
      <c r="A69" s="64">
        <v>41334</v>
      </c>
      <c r="B69" s="65">
        <v>189178.2</v>
      </c>
      <c r="C69" s="65">
        <v>45758.4</v>
      </c>
      <c r="D69" s="65">
        <v>9951.2</v>
      </c>
      <c r="E69" s="65">
        <v>2115</v>
      </c>
      <c r="F69" s="65">
        <v>5247.000000000001</v>
      </c>
      <c r="G69" s="65">
        <v>70.7</v>
      </c>
      <c r="H69" s="67">
        <v>298.6</v>
      </c>
      <c r="I69" s="65">
        <f t="shared" si="3"/>
        <v>252619.10000000003</v>
      </c>
      <c r="J69" s="73">
        <v>48746.90000000008</v>
      </c>
      <c r="K69" s="65">
        <v>264998.8</v>
      </c>
      <c r="L69" s="69">
        <v>7592</v>
      </c>
      <c r="M69" s="69" t="s">
        <v>4</v>
      </c>
      <c r="N69" s="65">
        <v>20</v>
      </c>
      <c r="O69" s="70" t="s">
        <v>4</v>
      </c>
      <c r="P69" s="65">
        <v>8683.9</v>
      </c>
      <c r="Q69" s="69" t="s">
        <v>4</v>
      </c>
      <c r="R69" s="72">
        <v>-77422.5</v>
      </c>
      <c r="S69" s="65">
        <f t="shared" si="4"/>
        <v>252619.1000000001</v>
      </c>
      <c r="T69" s="65">
        <v>893897.975</v>
      </c>
      <c r="U69" s="65">
        <f t="shared" si="5"/>
        <v>3.5385209392322268</v>
      </c>
    </row>
    <row r="70" spans="1:21" s="62" customFormat="1" ht="15.75">
      <c r="A70" s="64">
        <v>41365</v>
      </c>
      <c r="B70" s="65">
        <v>192574</v>
      </c>
      <c r="C70" s="65">
        <v>53981.2</v>
      </c>
      <c r="D70" s="65">
        <v>1329.9</v>
      </c>
      <c r="E70" s="65">
        <v>3020.3</v>
      </c>
      <c r="F70" s="65">
        <v>7844.6</v>
      </c>
      <c r="G70" s="65">
        <v>43</v>
      </c>
      <c r="H70" s="67">
        <v>760.2</v>
      </c>
      <c r="I70" s="65">
        <f t="shared" si="3"/>
        <v>259553.2</v>
      </c>
      <c r="J70" s="73">
        <v>44693.59999999998</v>
      </c>
      <c r="K70" s="65">
        <v>280277.5</v>
      </c>
      <c r="L70" s="69" t="s">
        <v>4</v>
      </c>
      <c r="M70" s="69" t="s">
        <v>4</v>
      </c>
      <c r="N70" s="65">
        <v>20</v>
      </c>
      <c r="O70" s="70" t="s">
        <v>4</v>
      </c>
      <c r="P70" s="65">
        <v>8648.7</v>
      </c>
      <c r="Q70" s="69" t="s">
        <v>4</v>
      </c>
      <c r="R70" s="72">
        <v>-74086.59999999999</v>
      </c>
      <c r="S70" s="65">
        <f t="shared" si="4"/>
        <v>259553.2</v>
      </c>
      <c r="T70" s="65">
        <v>923598.7666666666</v>
      </c>
      <c r="U70" s="65">
        <f t="shared" si="5"/>
        <v>3.5584179531081355</v>
      </c>
    </row>
    <row r="71" spans="1:21" s="62" customFormat="1" ht="15.75">
      <c r="A71" s="64">
        <v>41395</v>
      </c>
      <c r="B71" s="65">
        <v>197918.3</v>
      </c>
      <c r="C71" s="65">
        <v>46750.1</v>
      </c>
      <c r="D71" s="65">
        <v>4135.400000000001</v>
      </c>
      <c r="E71" s="65">
        <v>2696.4</v>
      </c>
      <c r="F71" s="65">
        <v>7258.8</v>
      </c>
      <c r="G71" s="65">
        <v>140.3</v>
      </c>
      <c r="H71" s="67">
        <v>373.5</v>
      </c>
      <c r="I71" s="65">
        <f aca="true" t="shared" si="6" ref="I71:I102">SUM(B71:H71)</f>
        <v>259272.79999999996</v>
      </c>
      <c r="J71" s="73">
        <v>64212.600000000035</v>
      </c>
      <c r="K71" s="65">
        <v>251958.70000000007</v>
      </c>
      <c r="L71" s="69" t="s">
        <v>4</v>
      </c>
      <c r="M71" s="69" t="s">
        <v>4</v>
      </c>
      <c r="N71" s="65">
        <v>20</v>
      </c>
      <c r="O71" s="70" t="s">
        <v>4</v>
      </c>
      <c r="P71" s="65">
        <v>8884</v>
      </c>
      <c r="Q71" s="69" t="s">
        <v>4</v>
      </c>
      <c r="R71" s="72">
        <v>-65802.5</v>
      </c>
      <c r="S71" s="65">
        <f aca="true" t="shared" si="7" ref="S71:S102">SUM(J71:R71)</f>
        <v>259272.8000000001</v>
      </c>
      <c r="T71" s="65">
        <v>928294.3583333334</v>
      </c>
      <c r="U71" s="65">
        <f aca="true" t="shared" si="8" ref="U71:U102">T71/I71</f>
        <v>3.580376955597863</v>
      </c>
    </row>
    <row r="72" spans="1:21" s="62" customFormat="1" ht="15.75">
      <c r="A72" s="64">
        <v>41426</v>
      </c>
      <c r="B72" s="65">
        <v>205811.8</v>
      </c>
      <c r="C72" s="65">
        <v>56976.3</v>
      </c>
      <c r="D72" s="65">
        <v>7760.5</v>
      </c>
      <c r="E72" s="65">
        <v>2218.5</v>
      </c>
      <c r="F72" s="65">
        <v>7471.700000000001</v>
      </c>
      <c r="G72" s="65">
        <v>79.7</v>
      </c>
      <c r="H72" s="67">
        <v>271.5</v>
      </c>
      <c r="I72" s="65">
        <f t="shared" si="6"/>
        <v>280590</v>
      </c>
      <c r="J72" s="73">
        <v>56965.40000000008</v>
      </c>
      <c r="K72" s="65">
        <v>273884.2</v>
      </c>
      <c r="L72" s="69" t="s">
        <v>4</v>
      </c>
      <c r="M72" s="69" t="s">
        <v>4</v>
      </c>
      <c r="N72" s="65">
        <v>20</v>
      </c>
      <c r="O72" s="70" t="s">
        <v>4</v>
      </c>
      <c r="P72" s="65">
        <v>9042.5</v>
      </c>
      <c r="Q72" s="69" t="s">
        <v>4</v>
      </c>
      <c r="R72" s="72">
        <v>-59322.100000000006</v>
      </c>
      <c r="S72" s="65">
        <f t="shared" si="7"/>
        <v>280590.0000000001</v>
      </c>
      <c r="T72" s="65">
        <v>927922.8499999996</v>
      </c>
      <c r="U72" s="65">
        <f t="shared" si="8"/>
        <v>3.3070417691293335</v>
      </c>
    </row>
    <row r="73" spans="1:21" s="62" customFormat="1" ht="15.75">
      <c r="A73" s="64">
        <v>41456</v>
      </c>
      <c r="B73" s="65">
        <v>205754.8</v>
      </c>
      <c r="C73" s="65">
        <v>42545.7</v>
      </c>
      <c r="D73" s="65">
        <v>1034.6</v>
      </c>
      <c r="E73" s="65">
        <v>1712.5</v>
      </c>
      <c r="F73" s="65">
        <v>3739.7000000000003</v>
      </c>
      <c r="G73" s="65">
        <v>57.6</v>
      </c>
      <c r="H73" s="67">
        <v>313.7</v>
      </c>
      <c r="I73" s="65">
        <f t="shared" si="6"/>
        <v>255158.60000000003</v>
      </c>
      <c r="J73" s="73">
        <v>88260.70000000007</v>
      </c>
      <c r="K73" s="65">
        <v>211421.3</v>
      </c>
      <c r="L73" s="69">
        <v>2619.7</v>
      </c>
      <c r="M73" s="69" t="s">
        <v>4</v>
      </c>
      <c r="N73" s="65">
        <v>20</v>
      </c>
      <c r="O73" s="70" t="s">
        <v>4</v>
      </c>
      <c r="P73" s="65">
        <v>9499</v>
      </c>
      <c r="Q73" s="69" t="s">
        <v>4</v>
      </c>
      <c r="R73" s="72">
        <v>-56662.09999999999</v>
      </c>
      <c r="S73" s="65">
        <f t="shared" si="7"/>
        <v>255158.6000000001</v>
      </c>
      <c r="T73" s="65">
        <v>933506.9083333334</v>
      </c>
      <c r="U73" s="65">
        <f t="shared" si="8"/>
        <v>3.658535939346482</v>
      </c>
    </row>
    <row r="74" spans="1:21" s="62" customFormat="1" ht="15.75">
      <c r="A74" s="64">
        <v>41487</v>
      </c>
      <c r="B74" s="65">
        <v>207966.5</v>
      </c>
      <c r="C74" s="65">
        <v>65307.6</v>
      </c>
      <c r="D74" s="65">
        <v>4962.200000000001</v>
      </c>
      <c r="E74" s="65">
        <v>2783.3</v>
      </c>
      <c r="F74" s="65">
        <v>7575.4</v>
      </c>
      <c r="G74" s="65">
        <v>52.2</v>
      </c>
      <c r="H74" s="67">
        <v>218.9</v>
      </c>
      <c r="I74" s="65">
        <f t="shared" si="6"/>
        <v>288866.10000000003</v>
      </c>
      <c r="J74" s="73">
        <v>79468.29999999999</v>
      </c>
      <c r="K74" s="65">
        <v>254521.30000000002</v>
      </c>
      <c r="L74" s="69" t="s">
        <v>4</v>
      </c>
      <c r="M74" s="69" t="s">
        <v>4</v>
      </c>
      <c r="N74" s="65">
        <v>20</v>
      </c>
      <c r="O74" s="70" t="s">
        <v>4</v>
      </c>
      <c r="P74" s="65">
        <v>9778.4</v>
      </c>
      <c r="Q74" s="69" t="s">
        <v>4</v>
      </c>
      <c r="R74" s="72">
        <v>-54921.899999999994</v>
      </c>
      <c r="S74" s="65">
        <f t="shared" si="7"/>
        <v>288866.1</v>
      </c>
      <c r="T74" s="65">
        <v>956476.3666666668</v>
      </c>
      <c r="U74" s="65">
        <f t="shared" si="8"/>
        <v>3.3111409288478875</v>
      </c>
    </row>
    <row r="75" spans="1:21" s="62" customFormat="1" ht="15.75">
      <c r="A75" s="64">
        <v>41518</v>
      </c>
      <c r="B75" s="65">
        <v>201031</v>
      </c>
      <c r="C75" s="65">
        <v>65670.9</v>
      </c>
      <c r="D75" s="65">
        <v>1516.7</v>
      </c>
      <c r="E75" s="65">
        <v>4193</v>
      </c>
      <c r="F75" s="65">
        <v>4666.1</v>
      </c>
      <c r="G75" s="65">
        <v>54.7</v>
      </c>
      <c r="H75" s="67">
        <v>280.2</v>
      </c>
      <c r="I75" s="65">
        <f t="shared" si="6"/>
        <v>277412.60000000003</v>
      </c>
      <c r="J75" s="73">
        <v>78410.79999999999</v>
      </c>
      <c r="K75" s="65">
        <v>243601.6</v>
      </c>
      <c r="L75" s="69">
        <v>61.3</v>
      </c>
      <c r="M75" s="69" t="s">
        <v>4</v>
      </c>
      <c r="N75" s="65">
        <v>20</v>
      </c>
      <c r="O75" s="70" t="s">
        <v>4</v>
      </c>
      <c r="P75" s="65">
        <v>9872.8</v>
      </c>
      <c r="Q75" s="69" t="s">
        <v>4</v>
      </c>
      <c r="R75" s="72">
        <v>-54553.89999999999</v>
      </c>
      <c r="S75" s="65">
        <f t="shared" si="7"/>
        <v>277412.60000000003</v>
      </c>
      <c r="T75" s="65">
        <v>956466.325</v>
      </c>
      <c r="U75" s="65">
        <f t="shared" si="8"/>
        <v>3.4478114007799205</v>
      </c>
    </row>
    <row r="76" spans="1:21" s="62" customFormat="1" ht="15.75">
      <c r="A76" s="64">
        <v>41548</v>
      </c>
      <c r="B76" s="65">
        <v>202480.1</v>
      </c>
      <c r="C76" s="65">
        <v>63902</v>
      </c>
      <c r="D76" s="65">
        <v>14280.7</v>
      </c>
      <c r="E76" s="65">
        <v>3120.3999999999996</v>
      </c>
      <c r="F76" s="65">
        <v>4807.4</v>
      </c>
      <c r="G76" s="65">
        <v>67.5</v>
      </c>
      <c r="H76" s="67">
        <v>563.8</v>
      </c>
      <c r="I76" s="65">
        <f t="shared" si="6"/>
        <v>289221.9</v>
      </c>
      <c r="J76" s="73">
        <v>98627.29999999999</v>
      </c>
      <c r="K76" s="65">
        <v>234765.29999999996</v>
      </c>
      <c r="L76" s="69" t="s">
        <v>4</v>
      </c>
      <c r="M76" s="69" t="s">
        <v>4</v>
      </c>
      <c r="N76" s="65">
        <v>20</v>
      </c>
      <c r="O76" s="70" t="s">
        <v>4</v>
      </c>
      <c r="P76" s="65">
        <v>9994.6</v>
      </c>
      <c r="Q76" s="69" t="s">
        <v>4</v>
      </c>
      <c r="R76" s="72">
        <v>-54185.299999999996</v>
      </c>
      <c r="S76" s="65">
        <f t="shared" si="7"/>
        <v>289221.89999999997</v>
      </c>
      <c r="T76" s="65">
        <v>960604.4833333332</v>
      </c>
      <c r="U76" s="65">
        <f t="shared" si="8"/>
        <v>3.3213407537027213</v>
      </c>
    </row>
    <row r="77" spans="1:21" s="62" customFormat="1" ht="15.75">
      <c r="A77" s="64">
        <v>41579</v>
      </c>
      <c r="B77" s="65">
        <v>205821.3</v>
      </c>
      <c r="C77" s="65">
        <v>68293.7</v>
      </c>
      <c r="D77" s="65">
        <v>4330</v>
      </c>
      <c r="E77" s="65">
        <v>2717.5</v>
      </c>
      <c r="F77" s="65">
        <v>5401.499999999999</v>
      </c>
      <c r="G77" s="65">
        <v>104.6</v>
      </c>
      <c r="H77" s="67">
        <v>723.9</v>
      </c>
      <c r="I77" s="65">
        <f t="shared" si="6"/>
        <v>287392.5</v>
      </c>
      <c r="J77" s="73">
        <v>81256.10000000003</v>
      </c>
      <c r="K77" s="65">
        <v>249308.5</v>
      </c>
      <c r="L77" s="69" t="s">
        <v>4</v>
      </c>
      <c r="M77" s="69" t="s">
        <v>4</v>
      </c>
      <c r="N77" s="65">
        <v>20</v>
      </c>
      <c r="O77" s="70" t="s">
        <v>4</v>
      </c>
      <c r="P77" s="65">
        <v>10127.199999999999</v>
      </c>
      <c r="Q77" s="69" t="s">
        <v>4</v>
      </c>
      <c r="R77" s="72">
        <v>-53319.3</v>
      </c>
      <c r="S77" s="65">
        <f t="shared" si="7"/>
        <v>287392.50000000006</v>
      </c>
      <c r="T77" s="65">
        <v>963431.5416666665</v>
      </c>
      <c r="U77" s="65">
        <f t="shared" si="8"/>
        <v>3.3523197079487685</v>
      </c>
    </row>
    <row r="78" spans="1:21" s="62" customFormat="1" ht="15.75">
      <c r="A78" s="64">
        <v>41609</v>
      </c>
      <c r="B78" s="65">
        <v>211683.7</v>
      </c>
      <c r="C78" s="65">
        <v>82710.8</v>
      </c>
      <c r="D78" s="65">
        <v>5135.8</v>
      </c>
      <c r="E78" s="65">
        <v>2674</v>
      </c>
      <c r="F78" s="65">
        <v>3566.2</v>
      </c>
      <c r="G78" s="65">
        <v>28</v>
      </c>
      <c r="H78" s="67">
        <v>787.6</v>
      </c>
      <c r="I78" s="65">
        <f t="shared" si="6"/>
        <v>306586.1</v>
      </c>
      <c r="J78" s="73">
        <v>118133.79999999999</v>
      </c>
      <c r="K78" s="65">
        <v>229473.99999999997</v>
      </c>
      <c r="L78" s="69" t="s">
        <v>4</v>
      </c>
      <c r="M78" s="69" t="s">
        <v>4</v>
      </c>
      <c r="N78" s="65">
        <v>20</v>
      </c>
      <c r="O78" s="70" t="s">
        <v>4</v>
      </c>
      <c r="P78" s="65">
        <v>10118.699999999999</v>
      </c>
      <c r="Q78" s="69" t="s">
        <v>4</v>
      </c>
      <c r="R78" s="72">
        <v>-51160.40000000001</v>
      </c>
      <c r="S78" s="65">
        <f t="shared" si="7"/>
        <v>306586.0999999999</v>
      </c>
      <c r="T78" s="65">
        <v>986748.8</v>
      </c>
      <c r="U78" s="65">
        <f t="shared" si="8"/>
        <v>3.2185046875902077</v>
      </c>
    </row>
    <row r="79" spans="1:21" s="62" customFormat="1" ht="15.75">
      <c r="A79" s="64">
        <v>41640</v>
      </c>
      <c r="B79" s="65">
        <v>202030.1</v>
      </c>
      <c r="C79" s="65">
        <v>63490.3</v>
      </c>
      <c r="D79" s="65">
        <v>957</v>
      </c>
      <c r="E79" s="65">
        <v>2260.2</v>
      </c>
      <c r="F79" s="65">
        <v>2464.7</v>
      </c>
      <c r="G79" s="65">
        <v>33.9</v>
      </c>
      <c r="H79" s="67">
        <v>1652.3</v>
      </c>
      <c r="I79" s="65">
        <f t="shared" si="6"/>
        <v>272888.50000000006</v>
      </c>
      <c r="J79" s="73">
        <v>102196.30000000005</v>
      </c>
      <c r="K79" s="65">
        <v>210861.09999999998</v>
      </c>
      <c r="L79" s="69" t="s">
        <v>4</v>
      </c>
      <c r="M79" s="69" t="s">
        <v>4</v>
      </c>
      <c r="N79" s="65">
        <v>20</v>
      </c>
      <c r="O79" s="70" t="s">
        <v>4</v>
      </c>
      <c r="P79" s="65">
        <v>11156.5</v>
      </c>
      <c r="Q79" s="69" t="s">
        <v>4</v>
      </c>
      <c r="R79" s="72">
        <v>-51345.4</v>
      </c>
      <c r="S79" s="65">
        <f t="shared" si="7"/>
        <v>272888.5</v>
      </c>
      <c r="T79" s="65">
        <v>965205.5833333333</v>
      </c>
      <c r="U79" s="65">
        <f t="shared" si="8"/>
        <v>3.5369961846443987</v>
      </c>
    </row>
    <row r="80" spans="1:21" s="62" customFormat="1" ht="15.75">
      <c r="A80" s="64">
        <v>41671</v>
      </c>
      <c r="B80" s="65">
        <v>199255.9</v>
      </c>
      <c r="C80" s="65">
        <v>59022.7</v>
      </c>
      <c r="D80" s="65">
        <v>2284.7</v>
      </c>
      <c r="E80" s="65">
        <v>2097</v>
      </c>
      <c r="F80" s="65">
        <v>2938.3</v>
      </c>
      <c r="G80" s="65">
        <v>32.3</v>
      </c>
      <c r="H80" s="67">
        <v>613</v>
      </c>
      <c r="I80" s="65">
        <f t="shared" si="6"/>
        <v>266243.89999999997</v>
      </c>
      <c r="J80" s="73">
        <v>91139.9</v>
      </c>
      <c r="K80" s="65">
        <v>214143.2</v>
      </c>
      <c r="L80" s="69">
        <v>115</v>
      </c>
      <c r="M80" s="69">
        <v>1914.8</v>
      </c>
      <c r="N80" s="65">
        <v>20</v>
      </c>
      <c r="O80" s="70" t="s">
        <v>4</v>
      </c>
      <c r="P80" s="65">
        <v>11612.7</v>
      </c>
      <c r="Q80" s="69" t="s">
        <v>4</v>
      </c>
      <c r="R80" s="72">
        <v>-52701.7</v>
      </c>
      <c r="S80" s="65">
        <f t="shared" si="7"/>
        <v>266243.89999999997</v>
      </c>
      <c r="T80" s="65">
        <v>976744.4666666668</v>
      </c>
      <c r="U80" s="65">
        <f t="shared" si="8"/>
        <v>3.6686078692006348</v>
      </c>
    </row>
    <row r="81" spans="1:21" s="62" customFormat="1" ht="15.75">
      <c r="A81" s="64">
        <v>41699</v>
      </c>
      <c r="B81" s="65">
        <v>201300.8</v>
      </c>
      <c r="C81" s="65">
        <v>70896.4</v>
      </c>
      <c r="D81" s="65">
        <v>426.9</v>
      </c>
      <c r="E81" s="65">
        <v>1135.9</v>
      </c>
      <c r="F81" s="65">
        <v>1041.5</v>
      </c>
      <c r="G81" s="65">
        <v>24.6</v>
      </c>
      <c r="H81" s="67">
        <v>1373.4</v>
      </c>
      <c r="I81" s="65">
        <f t="shared" si="6"/>
        <v>276199.5</v>
      </c>
      <c r="J81" s="73">
        <v>95018.6</v>
      </c>
      <c r="K81" s="65">
        <v>243395.1</v>
      </c>
      <c r="L81" s="69">
        <v>325.1</v>
      </c>
      <c r="M81" s="69">
        <v>1914.8</v>
      </c>
      <c r="N81" s="65">
        <v>20</v>
      </c>
      <c r="O81" s="70" t="s">
        <v>4</v>
      </c>
      <c r="P81" s="65">
        <v>11758.1</v>
      </c>
      <c r="Q81" s="69">
        <v>-27200</v>
      </c>
      <c r="R81" s="72">
        <v>-49032.20000000001</v>
      </c>
      <c r="S81" s="65">
        <f t="shared" si="7"/>
        <v>276199.49999999994</v>
      </c>
      <c r="T81" s="65">
        <v>988233.8499999999</v>
      </c>
      <c r="U81" s="65">
        <f t="shared" si="8"/>
        <v>3.5779711766313835</v>
      </c>
    </row>
    <row r="82" spans="1:21" s="62" customFormat="1" ht="15.75">
      <c r="A82" s="64">
        <v>41730</v>
      </c>
      <c r="B82" s="65">
        <v>208491.1</v>
      </c>
      <c r="C82" s="65">
        <v>88908.1</v>
      </c>
      <c r="D82" s="65">
        <v>1280.1</v>
      </c>
      <c r="E82" s="65">
        <v>1749.2</v>
      </c>
      <c r="F82" s="65">
        <v>3119.1</v>
      </c>
      <c r="G82" s="65">
        <v>29.9</v>
      </c>
      <c r="H82" s="67">
        <v>3474.7</v>
      </c>
      <c r="I82" s="65">
        <f t="shared" si="6"/>
        <v>307052.2</v>
      </c>
      <c r="J82" s="73">
        <v>95155.49999999997</v>
      </c>
      <c r="K82" s="65">
        <v>245992.59999999998</v>
      </c>
      <c r="L82" s="69" t="s">
        <v>4</v>
      </c>
      <c r="M82" s="69">
        <v>1914.8</v>
      </c>
      <c r="N82" s="65">
        <v>20</v>
      </c>
      <c r="O82" s="70" t="s">
        <v>4</v>
      </c>
      <c r="P82" s="65">
        <v>11937.4</v>
      </c>
      <c r="Q82" s="69" t="s">
        <v>4</v>
      </c>
      <c r="R82" s="72">
        <v>-47968.100000000006</v>
      </c>
      <c r="S82" s="65">
        <f t="shared" si="7"/>
        <v>307052.19999999995</v>
      </c>
      <c r="T82" s="65">
        <v>1033925.333333333</v>
      </c>
      <c r="U82" s="65">
        <f t="shared" si="8"/>
        <v>3.3672624177040027</v>
      </c>
    </row>
    <row r="83" spans="1:21" s="62" customFormat="1" ht="15.75">
      <c r="A83" s="64">
        <v>41760</v>
      </c>
      <c r="B83" s="65">
        <v>217664.2</v>
      </c>
      <c r="C83" s="65">
        <v>94855.4</v>
      </c>
      <c r="D83" s="65">
        <v>297.8</v>
      </c>
      <c r="E83" s="65">
        <v>2191.3</v>
      </c>
      <c r="F83" s="65">
        <v>1750.3</v>
      </c>
      <c r="G83" s="65">
        <v>45</v>
      </c>
      <c r="H83" s="67">
        <v>1633.4</v>
      </c>
      <c r="I83" s="65">
        <f t="shared" si="6"/>
        <v>318437.39999999997</v>
      </c>
      <c r="J83" s="73">
        <v>85923.99999999997</v>
      </c>
      <c r="K83" s="65">
        <v>267704.89999999997</v>
      </c>
      <c r="L83" s="69"/>
      <c r="M83" s="69">
        <v>1914.8</v>
      </c>
      <c r="N83" s="65">
        <v>20</v>
      </c>
      <c r="O83" s="70" t="s">
        <v>4</v>
      </c>
      <c r="P83" s="65">
        <v>11973.7</v>
      </c>
      <c r="Q83" s="69" t="s">
        <v>4</v>
      </c>
      <c r="R83" s="72">
        <v>-49099.99999999999</v>
      </c>
      <c r="S83" s="65">
        <f t="shared" si="7"/>
        <v>318437.3999999999</v>
      </c>
      <c r="T83" s="65">
        <v>1024057.3166666667</v>
      </c>
      <c r="U83" s="65">
        <f t="shared" si="8"/>
        <v>3.215882671654356</v>
      </c>
    </row>
    <row r="84" spans="1:21" s="62" customFormat="1" ht="15.75">
      <c r="A84" s="64">
        <v>41791</v>
      </c>
      <c r="B84" s="65">
        <v>223781.8</v>
      </c>
      <c r="C84" s="65">
        <v>100650</v>
      </c>
      <c r="D84" s="65">
        <v>1428.4</v>
      </c>
      <c r="E84" s="65">
        <v>1303.5</v>
      </c>
      <c r="F84" s="65">
        <v>6385</v>
      </c>
      <c r="G84" s="65">
        <v>20.2</v>
      </c>
      <c r="H84" s="67">
        <v>1329.6</v>
      </c>
      <c r="I84" s="65">
        <f t="shared" si="6"/>
        <v>334898.5</v>
      </c>
      <c r="J84" s="73">
        <v>89071.50000000003</v>
      </c>
      <c r="K84" s="65">
        <v>282645.39999999997</v>
      </c>
      <c r="L84" s="69"/>
      <c r="M84" s="69">
        <v>1914.8</v>
      </c>
      <c r="N84" s="65">
        <v>20</v>
      </c>
      <c r="O84" s="70" t="s">
        <v>4</v>
      </c>
      <c r="P84" s="65">
        <v>12500.7</v>
      </c>
      <c r="Q84" s="69" t="s">
        <v>4</v>
      </c>
      <c r="R84" s="72">
        <v>-51253.90000000001</v>
      </c>
      <c r="S84" s="65">
        <f t="shared" si="7"/>
        <v>334898.5</v>
      </c>
      <c r="T84" s="65">
        <v>1050599.4</v>
      </c>
      <c r="U84" s="65">
        <f t="shared" si="8"/>
        <v>3.137068096751702</v>
      </c>
    </row>
    <row r="85" spans="1:21" s="62" customFormat="1" ht="15.75">
      <c r="A85" s="64">
        <v>41821</v>
      </c>
      <c r="B85" s="65">
        <v>239726</v>
      </c>
      <c r="C85" s="65">
        <v>85589</v>
      </c>
      <c r="D85" s="65">
        <v>5114.6</v>
      </c>
      <c r="E85" s="65">
        <v>1871.9</v>
      </c>
      <c r="F85" s="65">
        <v>6762.7</v>
      </c>
      <c r="G85" s="65">
        <v>16.1</v>
      </c>
      <c r="H85" s="67">
        <v>3757.8</v>
      </c>
      <c r="I85" s="65">
        <f t="shared" si="6"/>
        <v>342838.1</v>
      </c>
      <c r="J85" s="73">
        <v>70600.4</v>
      </c>
      <c r="K85" s="65">
        <v>301711.6</v>
      </c>
      <c r="L85" s="69"/>
      <c r="M85" s="69">
        <v>1914.8</v>
      </c>
      <c r="N85" s="65">
        <v>20</v>
      </c>
      <c r="O85" s="70" t="s">
        <v>4</v>
      </c>
      <c r="P85" s="65">
        <v>12519.3</v>
      </c>
      <c r="Q85" s="69" t="s">
        <v>4</v>
      </c>
      <c r="R85" s="72">
        <v>-43928</v>
      </c>
      <c r="S85" s="65">
        <f t="shared" si="7"/>
        <v>342838.1</v>
      </c>
      <c r="T85" s="65">
        <v>1100681.2666666664</v>
      </c>
      <c r="U85" s="65">
        <f t="shared" si="8"/>
        <v>3.210498677558493</v>
      </c>
    </row>
    <row r="86" spans="1:21" s="62" customFormat="1" ht="15.75">
      <c r="A86" s="64">
        <v>41852</v>
      </c>
      <c r="B86" s="65">
        <v>234022.8</v>
      </c>
      <c r="C86" s="65">
        <v>93988.4</v>
      </c>
      <c r="D86" s="65">
        <v>622.8</v>
      </c>
      <c r="E86" s="65">
        <v>1591.3</v>
      </c>
      <c r="F86" s="65">
        <v>2898.3</v>
      </c>
      <c r="G86" s="65">
        <v>44.9</v>
      </c>
      <c r="H86" s="67">
        <v>4866.3</v>
      </c>
      <c r="I86" s="65">
        <f t="shared" si="6"/>
        <v>338034.79999999993</v>
      </c>
      <c r="J86" s="73">
        <v>82609.9</v>
      </c>
      <c r="K86" s="65">
        <v>286595.5</v>
      </c>
      <c r="L86" s="69"/>
      <c r="M86" s="69">
        <v>2000</v>
      </c>
      <c r="N86" s="65">
        <v>20</v>
      </c>
      <c r="O86" s="70" t="s">
        <v>4</v>
      </c>
      <c r="P86" s="65">
        <v>12402.8</v>
      </c>
      <c r="Q86" s="69" t="s">
        <v>4</v>
      </c>
      <c r="R86" s="72">
        <v>-45593.39999999998</v>
      </c>
      <c r="S86" s="65">
        <f t="shared" si="7"/>
        <v>338034.80000000005</v>
      </c>
      <c r="T86" s="65">
        <v>1093021.7555555557</v>
      </c>
      <c r="U86" s="65">
        <f t="shared" si="8"/>
        <v>3.233459263825961</v>
      </c>
    </row>
    <row r="87" spans="1:21" s="62" customFormat="1" ht="15.75">
      <c r="A87" s="64">
        <v>41883</v>
      </c>
      <c r="B87" s="65">
        <v>222708</v>
      </c>
      <c r="C87" s="65">
        <v>80783.1</v>
      </c>
      <c r="D87" s="65">
        <v>631.5</v>
      </c>
      <c r="E87" s="65">
        <v>2407.5</v>
      </c>
      <c r="F87" s="65">
        <v>2153.6</v>
      </c>
      <c r="G87" s="65">
        <v>23.3</v>
      </c>
      <c r="H87" s="67">
        <v>969.1</v>
      </c>
      <c r="I87" s="65">
        <f t="shared" si="6"/>
        <v>309676.0999999999</v>
      </c>
      <c r="J87" s="73">
        <v>142837.30000000002</v>
      </c>
      <c r="K87" s="65">
        <v>195393.90000000002</v>
      </c>
      <c r="L87" s="69">
        <v>231.9000000000001</v>
      </c>
      <c r="M87" s="69">
        <v>2000</v>
      </c>
      <c r="N87" s="65">
        <v>20</v>
      </c>
      <c r="O87" s="70" t="s">
        <v>4</v>
      </c>
      <c r="P87" s="65">
        <v>12409.6</v>
      </c>
      <c r="Q87" s="69" t="s">
        <v>4</v>
      </c>
      <c r="R87" s="72">
        <v>-43216.6</v>
      </c>
      <c r="S87" s="65">
        <f t="shared" si="7"/>
        <v>309676.1000000001</v>
      </c>
      <c r="T87" s="65">
        <v>1052584.2055555554</v>
      </c>
      <c r="U87" s="65">
        <f t="shared" si="8"/>
        <v>3.398984311529226</v>
      </c>
    </row>
    <row r="88" spans="1:21" s="62" customFormat="1" ht="15.75">
      <c r="A88" s="64">
        <v>41913</v>
      </c>
      <c r="B88" s="65">
        <v>222327.4</v>
      </c>
      <c r="C88" s="65">
        <v>134377.8</v>
      </c>
      <c r="D88" s="65">
        <v>5301.7</v>
      </c>
      <c r="E88" s="65">
        <v>2382.2</v>
      </c>
      <c r="F88" s="65">
        <v>5743.4</v>
      </c>
      <c r="G88" s="65">
        <v>39.3</v>
      </c>
      <c r="H88" s="67">
        <v>174.2</v>
      </c>
      <c r="I88" s="65">
        <f t="shared" si="6"/>
        <v>370346</v>
      </c>
      <c r="J88" s="73">
        <v>138959.6</v>
      </c>
      <c r="K88" s="65">
        <v>263497.19999999995</v>
      </c>
      <c r="L88" s="69">
        <v>0</v>
      </c>
      <c r="M88" s="69">
        <v>2000</v>
      </c>
      <c r="N88" s="65">
        <v>20</v>
      </c>
      <c r="O88" s="70" t="s">
        <v>4</v>
      </c>
      <c r="P88" s="65">
        <v>12267.8</v>
      </c>
      <c r="Q88" s="69" t="s">
        <v>4</v>
      </c>
      <c r="R88" s="72">
        <v>-46398.59999999999</v>
      </c>
      <c r="S88" s="65">
        <f t="shared" si="7"/>
        <v>370345.99999999994</v>
      </c>
      <c r="T88" s="65">
        <v>1089090.962962963</v>
      </c>
      <c r="U88" s="65">
        <f t="shared" si="8"/>
        <v>2.9407391006328214</v>
      </c>
    </row>
    <row r="89" spans="1:21" s="62" customFormat="1" ht="15.75">
      <c r="A89" s="64">
        <v>41944</v>
      </c>
      <c r="B89" s="65">
        <v>219197.7</v>
      </c>
      <c r="C89" s="65">
        <v>105839.2</v>
      </c>
      <c r="D89" s="65">
        <v>910.9</v>
      </c>
      <c r="E89" s="65">
        <v>1576.2</v>
      </c>
      <c r="F89" s="65">
        <v>1671.9</v>
      </c>
      <c r="G89" s="65">
        <v>10.8</v>
      </c>
      <c r="H89" s="67">
        <v>1629</v>
      </c>
      <c r="I89" s="65">
        <f t="shared" si="6"/>
        <v>330835.70000000007</v>
      </c>
      <c r="J89" s="73">
        <v>134061.1</v>
      </c>
      <c r="K89" s="65">
        <v>227911.69999999998</v>
      </c>
      <c r="L89" s="69">
        <v>565.8000000000002</v>
      </c>
      <c r="M89" s="69">
        <v>2000</v>
      </c>
      <c r="N89" s="65">
        <v>20</v>
      </c>
      <c r="O89" s="70" t="s">
        <v>4</v>
      </c>
      <c r="P89" s="65">
        <v>12253.7</v>
      </c>
      <c r="Q89" s="69" t="s">
        <v>4</v>
      </c>
      <c r="R89" s="72">
        <v>-45976.59999999999</v>
      </c>
      <c r="S89" s="65">
        <f t="shared" si="7"/>
        <v>330835.7</v>
      </c>
      <c r="T89" s="65">
        <v>1056615.1586419751</v>
      </c>
      <c r="U89" s="65">
        <f t="shared" si="8"/>
        <v>3.1937761210231392</v>
      </c>
    </row>
    <row r="90" spans="1:21" s="62" customFormat="1" ht="15.75">
      <c r="A90" s="64">
        <v>41974</v>
      </c>
      <c r="B90" s="65">
        <v>227340.9</v>
      </c>
      <c r="C90" s="65">
        <v>120095.4</v>
      </c>
      <c r="D90" s="65">
        <v>1035.1</v>
      </c>
      <c r="E90" s="65">
        <v>1624.7</v>
      </c>
      <c r="F90" s="65">
        <v>3555.9</v>
      </c>
      <c r="G90" s="65">
        <v>22.9</v>
      </c>
      <c r="H90" s="67">
        <v>1326.1</v>
      </c>
      <c r="I90" s="65">
        <f t="shared" si="6"/>
        <v>355001</v>
      </c>
      <c r="J90" s="73">
        <v>128675.9</v>
      </c>
      <c r="K90" s="65">
        <v>263591.1</v>
      </c>
      <c r="L90" s="69">
        <v>0</v>
      </c>
      <c r="M90" s="69">
        <v>2000</v>
      </c>
      <c r="N90" s="65">
        <v>20</v>
      </c>
      <c r="O90" s="70" t="s">
        <v>4</v>
      </c>
      <c r="P90" s="65">
        <v>12103.3</v>
      </c>
      <c r="Q90" s="69" t="s">
        <v>4</v>
      </c>
      <c r="R90" s="72">
        <v>-51389.29999999999</v>
      </c>
      <c r="S90" s="65">
        <f t="shared" si="7"/>
        <v>355001</v>
      </c>
      <c r="T90" s="65">
        <v>1107089.4000000001</v>
      </c>
      <c r="U90" s="65">
        <f t="shared" si="8"/>
        <v>3.1185529054847736</v>
      </c>
    </row>
    <row r="91" spans="1:21" s="62" customFormat="1" ht="15.75">
      <c r="A91" s="64">
        <v>42005</v>
      </c>
      <c r="B91" s="65">
        <v>221881.2</v>
      </c>
      <c r="C91" s="65">
        <v>90284</v>
      </c>
      <c r="D91" s="65">
        <v>1412.8</v>
      </c>
      <c r="E91" s="65">
        <v>1251.9</v>
      </c>
      <c r="F91" s="65">
        <v>2661.8</v>
      </c>
      <c r="G91" s="65">
        <v>11.2</v>
      </c>
      <c r="H91" s="67">
        <v>309.5</v>
      </c>
      <c r="I91" s="65">
        <f t="shared" si="6"/>
        <v>317812.4</v>
      </c>
      <c r="J91" s="73">
        <v>127066.1</v>
      </c>
      <c r="K91" s="65">
        <v>219315.2</v>
      </c>
      <c r="L91" s="69">
        <v>463.6999999999998</v>
      </c>
      <c r="M91" s="69">
        <v>2000</v>
      </c>
      <c r="N91" s="65">
        <v>20</v>
      </c>
      <c r="O91" s="70" t="s">
        <v>4</v>
      </c>
      <c r="P91" s="65">
        <v>12903.4</v>
      </c>
      <c r="Q91" s="69" t="s">
        <v>4</v>
      </c>
      <c r="R91" s="72">
        <v>-43955.999999999985</v>
      </c>
      <c r="S91" s="65">
        <f t="shared" si="7"/>
        <v>317812.4000000001</v>
      </c>
      <c r="T91" s="65">
        <v>1079164.5833333333</v>
      </c>
      <c r="U91" s="65">
        <f t="shared" si="8"/>
        <v>3.395602510579616</v>
      </c>
    </row>
    <row r="92" spans="1:21" s="62" customFormat="1" ht="15.75">
      <c r="A92" s="64">
        <v>42036</v>
      </c>
      <c r="B92" s="65">
        <v>223869.8</v>
      </c>
      <c r="C92" s="65">
        <v>128772</v>
      </c>
      <c r="D92" s="65">
        <v>1446.5</v>
      </c>
      <c r="E92" s="65">
        <v>2667.8</v>
      </c>
      <c r="F92" s="65">
        <v>4150.5</v>
      </c>
      <c r="G92" s="65">
        <v>29.4</v>
      </c>
      <c r="H92" s="67">
        <v>410.4</v>
      </c>
      <c r="I92" s="65">
        <f t="shared" si="6"/>
        <v>361346.4</v>
      </c>
      <c r="J92" s="73">
        <v>122550.99999999997</v>
      </c>
      <c r="K92" s="65">
        <v>266706.89999999997</v>
      </c>
      <c r="L92" s="69">
        <v>0</v>
      </c>
      <c r="M92" s="69">
        <v>2000</v>
      </c>
      <c r="N92" s="65">
        <v>20</v>
      </c>
      <c r="O92" s="70" t="s">
        <v>4</v>
      </c>
      <c r="P92" s="65">
        <v>12771.4</v>
      </c>
      <c r="Q92" s="69" t="s">
        <v>4</v>
      </c>
      <c r="R92" s="72">
        <v>-42702.9</v>
      </c>
      <c r="S92" s="65">
        <f t="shared" si="7"/>
        <v>361346.3999999999</v>
      </c>
      <c r="T92" s="65">
        <v>1089757.0666666664</v>
      </c>
      <c r="U92" s="65">
        <f t="shared" si="8"/>
        <v>3.015823782018214</v>
      </c>
    </row>
    <row r="93" spans="1:21" s="62" customFormat="1" ht="15.75">
      <c r="A93" s="64">
        <v>42064</v>
      </c>
      <c r="B93" s="65">
        <v>223176.6</v>
      </c>
      <c r="C93" s="65">
        <v>71767.6</v>
      </c>
      <c r="D93" s="65">
        <v>1593.8</v>
      </c>
      <c r="E93" s="65">
        <v>1878.3</v>
      </c>
      <c r="F93" s="65">
        <v>4089.8</v>
      </c>
      <c r="G93" s="65">
        <v>47.4</v>
      </c>
      <c r="H93" s="67">
        <v>243.7</v>
      </c>
      <c r="I93" s="65">
        <f t="shared" si="6"/>
        <v>302797.2</v>
      </c>
      <c r="J93" s="73">
        <v>115526.4</v>
      </c>
      <c r="K93" s="65">
        <v>215693.9</v>
      </c>
      <c r="L93" s="69">
        <v>1178.9</v>
      </c>
      <c r="M93" s="69">
        <v>2000</v>
      </c>
      <c r="N93" s="65">
        <v>20</v>
      </c>
      <c r="O93" s="70" t="s">
        <v>4</v>
      </c>
      <c r="P93" s="65">
        <v>12654.2</v>
      </c>
      <c r="Q93" s="69" t="s">
        <v>4</v>
      </c>
      <c r="R93" s="72">
        <v>-44276.2</v>
      </c>
      <c r="S93" s="65">
        <f t="shared" si="7"/>
        <v>302797.2</v>
      </c>
      <c r="T93" s="65">
        <v>1064238.65</v>
      </c>
      <c r="U93" s="65">
        <f t="shared" si="8"/>
        <v>3.5146911860479553</v>
      </c>
    </row>
    <row r="94" spans="1:21" s="62" customFormat="1" ht="15.75">
      <c r="A94" s="64">
        <v>42095</v>
      </c>
      <c r="B94" s="65">
        <v>238022.8</v>
      </c>
      <c r="C94" s="65">
        <v>72697.2</v>
      </c>
      <c r="D94" s="65">
        <v>3120.4</v>
      </c>
      <c r="E94" s="65">
        <v>1431.1</v>
      </c>
      <c r="F94" s="65">
        <v>4725.5</v>
      </c>
      <c r="G94" s="65">
        <v>18.4</v>
      </c>
      <c r="H94" s="67">
        <v>403.8</v>
      </c>
      <c r="I94" s="65">
        <f t="shared" si="6"/>
        <v>320419.2</v>
      </c>
      <c r="J94" s="73">
        <v>93523.4</v>
      </c>
      <c r="K94" s="65">
        <v>242062.80000000002</v>
      </c>
      <c r="L94" s="69">
        <v>10000</v>
      </c>
      <c r="M94" s="69">
        <v>2000</v>
      </c>
      <c r="N94" s="65">
        <v>20</v>
      </c>
      <c r="O94" s="70" t="s">
        <v>4</v>
      </c>
      <c r="P94" s="65">
        <v>12455.3</v>
      </c>
      <c r="Q94" s="69" t="s">
        <v>4</v>
      </c>
      <c r="R94" s="72">
        <v>-39642.3</v>
      </c>
      <c r="S94" s="65">
        <f t="shared" si="7"/>
        <v>320419.2</v>
      </c>
      <c r="T94" s="65">
        <v>1108914.6333333335</v>
      </c>
      <c r="U94" s="65">
        <f t="shared" si="8"/>
        <v>3.4608245490074676</v>
      </c>
    </row>
    <row r="95" spans="1:21" s="62" customFormat="1" ht="15.75">
      <c r="A95" s="64">
        <v>42125</v>
      </c>
      <c r="B95" s="65">
        <v>248023.4</v>
      </c>
      <c r="C95" s="65">
        <v>69415.7</v>
      </c>
      <c r="D95" s="65">
        <v>6610</v>
      </c>
      <c r="E95" s="65">
        <v>1979.6</v>
      </c>
      <c r="F95" s="65">
        <v>5097.9</v>
      </c>
      <c r="G95" s="65">
        <v>48</v>
      </c>
      <c r="H95" s="67">
        <v>588.3</v>
      </c>
      <c r="I95" s="65">
        <f t="shared" si="6"/>
        <v>331762.89999999997</v>
      </c>
      <c r="J95" s="73">
        <v>96969.1</v>
      </c>
      <c r="K95" s="65">
        <v>258484.9</v>
      </c>
      <c r="L95" s="69">
        <v>911.5</v>
      </c>
      <c r="M95" s="69">
        <v>2000</v>
      </c>
      <c r="N95" s="65">
        <v>20</v>
      </c>
      <c r="O95" s="70" t="s">
        <v>4</v>
      </c>
      <c r="P95" s="65">
        <v>12774.8</v>
      </c>
      <c r="Q95" s="69" t="s">
        <v>4</v>
      </c>
      <c r="R95" s="72">
        <v>-39397.4</v>
      </c>
      <c r="S95" s="65">
        <f t="shared" si="7"/>
        <v>331762.89999999997</v>
      </c>
      <c r="T95" s="65">
        <v>1127841.6166666667</v>
      </c>
      <c r="U95" s="65">
        <f t="shared" si="8"/>
        <v>3.3995411080222255</v>
      </c>
    </row>
    <row r="96" spans="1:21" s="62" customFormat="1" ht="15.75">
      <c r="A96" s="64">
        <v>42156</v>
      </c>
      <c r="B96" s="65">
        <v>254961.4</v>
      </c>
      <c r="C96" s="65">
        <v>63611.8</v>
      </c>
      <c r="D96" s="65">
        <v>9771.3</v>
      </c>
      <c r="E96" s="65">
        <v>2089.9</v>
      </c>
      <c r="F96" s="65">
        <v>3640.6</v>
      </c>
      <c r="G96" s="65">
        <v>62.4</v>
      </c>
      <c r="H96" s="67">
        <v>357.5</v>
      </c>
      <c r="I96" s="65">
        <f t="shared" si="6"/>
        <v>334494.9</v>
      </c>
      <c r="J96" s="73">
        <v>11927.499999999976</v>
      </c>
      <c r="K96" s="65">
        <v>318199.6</v>
      </c>
      <c r="L96" s="69">
        <v>20000</v>
      </c>
      <c r="M96" s="69">
        <v>2000</v>
      </c>
      <c r="N96" s="65">
        <v>20</v>
      </c>
      <c r="O96" s="70" t="s">
        <v>4</v>
      </c>
      <c r="P96" s="65">
        <v>13128.8</v>
      </c>
      <c r="Q96" s="69" t="s">
        <v>4</v>
      </c>
      <c r="R96" s="72">
        <v>-30781.000000000015</v>
      </c>
      <c r="S96" s="65">
        <f t="shared" si="7"/>
        <v>334494.89999999997</v>
      </c>
      <c r="T96" s="65">
        <v>1104077.7999999996</v>
      </c>
      <c r="U96" s="65">
        <f t="shared" si="8"/>
        <v>3.300731341494293</v>
      </c>
    </row>
    <row r="97" spans="1:21" s="62" customFormat="1" ht="15.75">
      <c r="A97" s="64">
        <v>42186</v>
      </c>
      <c r="B97" s="65">
        <v>238905.2</v>
      </c>
      <c r="C97" s="65">
        <v>80850</v>
      </c>
      <c r="D97" s="65">
        <v>2711.7</v>
      </c>
      <c r="E97" s="65">
        <v>1992.3</v>
      </c>
      <c r="F97" s="65">
        <v>2932.2</v>
      </c>
      <c r="G97" s="65">
        <v>59.3</v>
      </c>
      <c r="H97" s="67">
        <v>428</v>
      </c>
      <c r="I97" s="65">
        <f t="shared" si="6"/>
        <v>327878.7</v>
      </c>
      <c r="J97" s="73">
        <v>-2305.6</v>
      </c>
      <c r="K97" s="65">
        <v>340759.7</v>
      </c>
      <c r="L97" s="69">
        <v>6000</v>
      </c>
      <c r="M97" s="69">
        <v>2000</v>
      </c>
      <c r="N97" s="65">
        <v>20</v>
      </c>
      <c r="O97" s="70" t="s">
        <v>4</v>
      </c>
      <c r="P97" s="65">
        <v>13666.4</v>
      </c>
      <c r="Q97" s="69" t="s">
        <v>4</v>
      </c>
      <c r="R97" s="72">
        <v>-32261.79999999999</v>
      </c>
      <c r="S97" s="65">
        <f t="shared" si="7"/>
        <v>327878.70000000007</v>
      </c>
      <c r="T97" s="65">
        <v>1102324</v>
      </c>
      <c r="U97" s="65">
        <f t="shared" si="8"/>
        <v>3.3619872227137657</v>
      </c>
    </row>
    <row r="98" spans="1:21" s="62" customFormat="1" ht="15.75">
      <c r="A98" s="64">
        <v>42217</v>
      </c>
      <c r="B98" s="65">
        <v>230953.7</v>
      </c>
      <c r="C98" s="65">
        <v>89861</v>
      </c>
      <c r="D98" s="65">
        <v>3048.9</v>
      </c>
      <c r="E98" s="65">
        <v>3013.9</v>
      </c>
      <c r="F98" s="65">
        <v>1505.9</v>
      </c>
      <c r="G98" s="65">
        <v>18.2</v>
      </c>
      <c r="H98" s="67">
        <v>333.6</v>
      </c>
      <c r="I98" s="65">
        <f t="shared" si="6"/>
        <v>328735.20000000007</v>
      </c>
      <c r="J98" s="73">
        <v>-43032.30000000001</v>
      </c>
      <c r="K98" s="65">
        <v>375105.60000000003</v>
      </c>
      <c r="L98" s="69">
        <v>10000</v>
      </c>
      <c r="M98" s="69">
        <v>2000</v>
      </c>
      <c r="N98" s="65">
        <v>20</v>
      </c>
      <c r="O98" s="70" t="s">
        <v>4</v>
      </c>
      <c r="P98" s="65">
        <v>14221.5</v>
      </c>
      <c r="Q98" s="69" t="s">
        <v>4</v>
      </c>
      <c r="R98" s="72">
        <v>-29579.6</v>
      </c>
      <c r="S98" s="65">
        <f t="shared" si="7"/>
        <v>328735.20000000007</v>
      </c>
      <c r="T98" s="65">
        <v>1110766.5777777778</v>
      </c>
      <c r="U98" s="65">
        <f t="shared" si="8"/>
        <v>3.378909766212373</v>
      </c>
    </row>
    <row r="99" spans="1:21" s="62" customFormat="1" ht="15.75">
      <c r="A99" s="64">
        <v>42248</v>
      </c>
      <c r="B99" s="65">
        <v>216072.1</v>
      </c>
      <c r="C99" s="65">
        <v>79716.8</v>
      </c>
      <c r="D99" s="65">
        <v>5700.2</v>
      </c>
      <c r="E99" s="65">
        <v>3810.3</v>
      </c>
      <c r="F99" s="65">
        <v>8658</v>
      </c>
      <c r="G99" s="65">
        <v>33.1</v>
      </c>
      <c r="H99" s="67">
        <v>323.5</v>
      </c>
      <c r="I99" s="65">
        <f t="shared" si="6"/>
        <v>314314</v>
      </c>
      <c r="J99" s="73">
        <v>-77050.1</v>
      </c>
      <c r="K99" s="65">
        <v>398227.1</v>
      </c>
      <c r="L99" s="69">
        <v>4840.3</v>
      </c>
      <c r="M99" s="69">
        <v>2000</v>
      </c>
      <c r="N99" s="65">
        <v>20</v>
      </c>
      <c r="O99" s="70" t="s">
        <v>4</v>
      </c>
      <c r="P99" s="65">
        <v>14713.9</v>
      </c>
      <c r="Q99" s="69" t="s">
        <v>4</v>
      </c>
      <c r="R99" s="72">
        <v>-28437.199999999997</v>
      </c>
      <c r="S99" s="65">
        <f t="shared" si="7"/>
        <v>314314</v>
      </c>
      <c r="T99" s="65">
        <v>1107152.9944444443</v>
      </c>
      <c r="U99" s="65">
        <f t="shared" si="8"/>
        <v>3.5224425079520616</v>
      </c>
    </row>
    <row r="100" spans="1:21" s="62" customFormat="1" ht="15.75">
      <c r="A100" s="64">
        <v>42278</v>
      </c>
      <c r="B100" s="65">
        <v>225234.3</v>
      </c>
      <c r="C100" s="65">
        <v>112668.5</v>
      </c>
      <c r="D100" s="65">
        <v>6435.6</v>
      </c>
      <c r="E100" s="65">
        <v>2770.6</v>
      </c>
      <c r="F100" s="65">
        <v>6415.9</v>
      </c>
      <c r="G100" s="65">
        <v>25.1</v>
      </c>
      <c r="H100" s="67">
        <v>463.8</v>
      </c>
      <c r="I100" s="65">
        <f t="shared" si="6"/>
        <v>354013.79999999993</v>
      </c>
      <c r="J100" s="73">
        <v>-58413.89999999999</v>
      </c>
      <c r="K100" s="65">
        <v>430637.3</v>
      </c>
      <c r="L100" s="69">
        <v>0</v>
      </c>
      <c r="M100" s="69">
        <v>2000</v>
      </c>
      <c r="N100" s="65">
        <v>20</v>
      </c>
      <c r="O100" s="70" t="s">
        <v>4</v>
      </c>
      <c r="P100" s="65">
        <v>14871.7</v>
      </c>
      <c r="Q100" s="69" t="s">
        <v>4</v>
      </c>
      <c r="R100" s="72">
        <v>-35101.3</v>
      </c>
      <c r="S100" s="65">
        <f t="shared" si="7"/>
        <v>354013.80000000005</v>
      </c>
      <c r="T100" s="65">
        <v>1146162.1703703701</v>
      </c>
      <c r="U100" s="65">
        <f t="shared" si="8"/>
        <v>3.2376200316777775</v>
      </c>
    </row>
    <row r="101" spans="1:21" s="62" customFormat="1" ht="15.75">
      <c r="A101" s="64">
        <v>42309</v>
      </c>
      <c r="B101" s="65">
        <v>221763.4</v>
      </c>
      <c r="C101" s="65">
        <v>89671.1</v>
      </c>
      <c r="D101" s="65">
        <v>835</v>
      </c>
      <c r="E101" s="65">
        <v>2847.7</v>
      </c>
      <c r="F101" s="65">
        <v>4746.9</v>
      </c>
      <c r="G101" s="65">
        <v>22</v>
      </c>
      <c r="H101" s="67">
        <v>870.5</v>
      </c>
      <c r="I101" s="65">
        <f t="shared" si="6"/>
        <v>320756.60000000003</v>
      </c>
      <c r="J101" s="73">
        <v>-112837.1</v>
      </c>
      <c r="K101" s="65">
        <v>437738.6</v>
      </c>
      <c r="L101" s="69">
        <v>16493.2</v>
      </c>
      <c r="M101" s="69">
        <v>2000</v>
      </c>
      <c r="N101" s="65">
        <v>20</v>
      </c>
      <c r="O101" s="70" t="s">
        <v>4</v>
      </c>
      <c r="P101" s="65">
        <v>14969.3</v>
      </c>
      <c r="Q101" s="69" t="s">
        <v>4</v>
      </c>
      <c r="R101" s="72">
        <v>-37627.400000000016</v>
      </c>
      <c r="S101" s="65">
        <f t="shared" si="7"/>
        <v>320756.6</v>
      </c>
      <c r="T101" s="65">
        <v>1088495.485802469</v>
      </c>
      <c r="U101" s="65">
        <f t="shared" si="8"/>
        <v>3.3935248278678256</v>
      </c>
    </row>
    <row r="102" spans="1:21" s="62" customFormat="1" ht="15.75">
      <c r="A102" s="64">
        <v>42339</v>
      </c>
      <c r="B102" s="65">
        <v>230723.7</v>
      </c>
      <c r="C102" s="65">
        <v>84351</v>
      </c>
      <c r="D102" s="65">
        <v>1611</v>
      </c>
      <c r="E102" s="65">
        <v>2209.5</v>
      </c>
      <c r="F102" s="65">
        <v>4368.5</v>
      </c>
      <c r="G102" s="65">
        <v>44.5</v>
      </c>
      <c r="H102" s="67">
        <v>1200</v>
      </c>
      <c r="I102" s="65">
        <f t="shared" si="6"/>
        <v>324508.2</v>
      </c>
      <c r="J102" s="73">
        <v>-132985.6</v>
      </c>
      <c r="K102" s="65">
        <v>452581.6</v>
      </c>
      <c r="L102" s="69">
        <v>19800</v>
      </c>
      <c r="M102" s="69">
        <v>2000</v>
      </c>
      <c r="N102" s="65">
        <v>20</v>
      </c>
      <c r="O102" s="70" t="s">
        <v>4</v>
      </c>
      <c r="P102" s="65">
        <v>14933.9</v>
      </c>
      <c r="Q102" s="69" t="s">
        <v>4</v>
      </c>
      <c r="R102" s="72">
        <v>-31841.69999999999</v>
      </c>
      <c r="S102" s="65">
        <f t="shared" si="7"/>
        <v>324508.2</v>
      </c>
      <c r="T102" s="65">
        <v>1106380</v>
      </c>
      <c r="U102" s="65">
        <f t="shared" si="8"/>
        <v>3.4094053709582686</v>
      </c>
    </row>
    <row r="103" spans="1:21" s="62" customFormat="1" ht="15.75">
      <c r="A103" s="64">
        <v>42370</v>
      </c>
      <c r="B103" s="65">
        <v>226455.9</v>
      </c>
      <c r="C103" s="65">
        <v>97415.5</v>
      </c>
      <c r="D103" s="65">
        <v>1365.4</v>
      </c>
      <c r="E103" s="65">
        <v>1524.2</v>
      </c>
      <c r="F103" s="65">
        <v>2402.5</v>
      </c>
      <c r="G103" s="65">
        <v>52.7</v>
      </c>
      <c r="H103" s="67">
        <v>588.7</v>
      </c>
      <c r="I103" s="65">
        <f aca="true" t="shared" si="9" ref="I103:I114">SUM(B103:H103)</f>
        <v>329804.9000000001</v>
      </c>
      <c r="J103" s="73">
        <v>-135855.99999999997</v>
      </c>
      <c r="K103" s="65">
        <v>440990.69999999995</v>
      </c>
      <c r="L103" s="69">
        <v>37705</v>
      </c>
      <c r="M103" s="69">
        <v>2000</v>
      </c>
      <c r="N103" s="65">
        <v>20</v>
      </c>
      <c r="O103" s="70" t="s">
        <v>4</v>
      </c>
      <c r="P103" s="65">
        <v>15514.3</v>
      </c>
      <c r="Q103" s="69" t="s">
        <v>4</v>
      </c>
      <c r="R103" s="72">
        <v>-30569.1</v>
      </c>
      <c r="S103" s="65">
        <f aca="true" t="shared" si="10" ref="S103:S134">SUM(J103:R103)</f>
        <v>329804.89999999997</v>
      </c>
      <c r="T103" s="65">
        <v>1091814.066666667</v>
      </c>
      <c r="U103" s="65">
        <f aca="true" t="shared" si="11" ref="U103:U134">T103/I103</f>
        <v>3.3104846734134834</v>
      </c>
    </row>
    <row r="104" spans="1:21" s="62" customFormat="1" ht="15.75">
      <c r="A104" s="64">
        <v>42401</v>
      </c>
      <c r="B104" s="65">
        <v>228222</v>
      </c>
      <c r="C104" s="65">
        <v>82311.3</v>
      </c>
      <c r="D104" s="65">
        <v>10313.2</v>
      </c>
      <c r="E104" s="65">
        <v>2882.1</v>
      </c>
      <c r="F104" s="65">
        <v>9164.2</v>
      </c>
      <c r="G104" s="65">
        <v>6.9</v>
      </c>
      <c r="H104" s="67">
        <v>948.2</v>
      </c>
      <c r="I104" s="65">
        <f t="shared" si="9"/>
        <v>333847.9</v>
      </c>
      <c r="J104" s="73">
        <v>-166598.1</v>
      </c>
      <c r="K104" s="65">
        <v>468504.30000000005</v>
      </c>
      <c r="L104" s="69">
        <v>43964.8</v>
      </c>
      <c r="M104" s="69">
        <v>2000</v>
      </c>
      <c r="N104" s="65">
        <v>20</v>
      </c>
      <c r="O104" s="70" t="s">
        <v>4</v>
      </c>
      <c r="P104" s="65">
        <v>15543.1</v>
      </c>
      <c r="Q104" s="69" t="s">
        <v>4</v>
      </c>
      <c r="R104" s="72">
        <v>-29586.200000000004</v>
      </c>
      <c r="S104" s="65">
        <f t="shared" si="10"/>
        <v>333847.9</v>
      </c>
      <c r="T104" s="65">
        <v>1108364.6333333333</v>
      </c>
      <c r="U104" s="65">
        <f t="shared" si="11"/>
        <v>3.3199688640645433</v>
      </c>
    </row>
    <row r="105" spans="1:21" s="62" customFormat="1" ht="15.75">
      <c r="A105" s="64">
        <v>42430</v>
      </c>
      <c r="B105" s="65">
        <v>219964.2</v>
      </c>
      <c r="C105" s="65">
        <v>94301.6</v>
      </c>
      <c r="D105" s="65">
        <v>2510.7</v>
      </c>
      <c r="E105" s="65">
        <v>2734.9</v>
      </c>
      <c r="F105" s="65">
        <v>2813.9</v>
      </c>
      <c r="G105" s="65">
        <v>26.4</v>
      </c>
      <c r="H105" s="67">
        <v>910.3</v>
      </c>
      <c r="I105" s="65">
        <f t="shared" si="9"/>
        <v>323262.0000000001</v>
      </c>
      <c r="J105" s="73">
        <v>-194954</v>
      </c>
      <c r="K105" s="65">
        <v>453694.6</v>
      </c>
      <c r="L105" s="69">
        <v>71850</v>
      </c>
      <c r="M105" s="69">
        <v>2000</v>
      </c>
      <c r="N105" s="65">
        <v>20</v>
      </c>
      <c r="O105" s="70" t="s">
        <v>4</v>
      </c>
      <c r="P105" s="65">
        <v>15893</v>
      </c>
      <c r="Q105" s="69" t="s">
        <v>4</v>
      </c>
      <c r="R105" s="72">
        <v>-25241.600000000006</v>
      </c>
      <c r="S105" s="65">
        <f t="shared" si="10"/>
        <v>323262</v>
      </c>
      <c r="T105" s="65">
        <v>1079593.5999999999</v>
      </c>
      <c r="U105" s="65">
        <f t="shared" si="11"/>
        <v>3.3396860750722306</v>
      </c>
    </row>
    <row r="106" spans="1:21" s="62" customFormat="1" ht="15.75">
      <c r="A106" s="64">
        <v>42461</v>
      </c>
      <c r="B106" s="65">
        <v>230212</v>
      </c>
      <c r="C106" s="65">
        <v>112572.5</v>
      </c>
      <c r="D106" s="65">
        <v>1361.9</v>
      </c>
      <c r="E106" s="65">
        <v>1956.8</v>
      </c>
      <c r="F106" s="65">
        <v>3187.7</v>
      </c>
      <c r="G106" s="65">
        <v>15.2</v>
      </c>
      <c r="H106" s="67">
        <v>438.4</v>
      </c>
      <c r="I106" s="65">
        <f t="shared" si="9"/>
        <v>349744.50000000006</v>
      </c>
      <c r="J106" s="73">
        <v>-175516.19999999998</v>
      </c>
      <c r="K106" s="65">
        <v>456044.29999999993</v>
      </c>
      <c r="L106" s="69">
        <v>72200</v>
      </c>
      <c r="M106" s="69">
        <v>2000</v>
      </c>
      <c r="N106" s="65">
        <v>20</v>
      </c>
      <c r="O106" s="70" t="s">
        <v>4</v>
      </c>
      <c r="P106" s="65">
        <v>16072.6</v>
      </c>
      <c r="Q106" s="69" t="s">
        <v>4</v>
      </c>
      <c r="R106" s="72">
        <v>-21076.199999999997</v>
      </c>
      <c r="S106" s="65">
        <f t="shared" si="10"/>
        <v>349744.49999999994</v>
      </c>
      <c r="T106" s="65">
        <v>1105144.2666666664</v>
      </c>
      <c r="U106" s="65">
        <f t="shared" si="11"/>
        <v>3.159861746694133</v>
      </c>
    </row>
    <row r="107" spans="1:21" s="62" customFormat="1" ht="15.75">
      <c r="A107" s="64">
        <v>42491</v>
      </c>
      <c r="B107" s="65">
        <v>230195.9</v>
      </c>
      <c r="C107" s="65">
        <v>105627.9</v>
      </c>
      <c r="D107" s="65">
        <v>7539.1</v>
      </c>
      <c r="E107" s="65">
        <v>2568.2</v>
      </c>
      <c r="F107" s="65">
        <v>7710.2</v>
      </c>
      <c r="G107" s="65">
        <v>37.6</v>
      </c>
      <c r="H107" s="67">
        <v>798.3</v>
      </c>
      <c r="I107" s="65">
        <f t="shared" si="9"/>
        <v>354477.19999999995</v>
      </c>
      <c r="J107" s="73">
        <v>-195743.4</v>
      </c>
      <c r="K107" s="65">
        <v>474258.10000000003</v>
      </c>
      <c r="L107" s="69">
        <v>82000</v>
      </c>
      <c r="M107" s="69">
        <v>2000</v>
      </c>
      <c r="N107" s="65">
        <v>20</v>
      </c>
      <c r="O107" s="70" t="s">
        <v>4</v>
      </c>
      <c r="P107" s="65">
        <v>16307.1</v>
      </c>
      <c r="Q107" s="69" t="s">
        <v>4</v>
      </c>
      <c r="R107" s="72">
        <v>-24364.59999999999</v>
      </c>
      <c r="S107" s="65">
        <f t="shared" si="10"/>
        <v>354477.20000000007</v>
      </c>
      <c r="T107" s="65">
        <v>1104586.5333333334</v>
      </c>
      <c r="U107" s="65">
        <f t="shared" si="11"/>
        <v>3.1161003679033055</v>
      </c>
    </row>
    <row r="108" spans="1:21" s="62" customFormat="1" ht="15.75">
      <c r="A108" s="64">
        <v>42522</v>
      </c>
      <c r="B108" s="65">
        <v>255415.5</v>
      </c>
      <c r="C108" s="65">
        <v>98845.3</v>
      </c>
      <c r="D108" s="65">
        <v>3186.6</v>
      </c>
      <c r="E108" s="65">
        <v>1740</v>
      </c>
      <c r="F108" s="65">
        <v>4307.5</v>
      </c>
      <c r="G108" s="65">
        <v>16.1</v>
      </c>
      <c r="H108" s="67">
        <v>557.9</v>
      </c>
      <c r="I108" s="65">
        <f t="shared" si="9"/>
        <v>364068.89999999997</v>
      </c>
      <c r="J108" s="73">
        <v>-186003.4</v>
      </c>
      <c r="K108" s="65">
        <v>457106.39999999997</v>
      </c>
      <c r="L108" s="69">
        <v>101000</v>
      </c>
      <c r="M108" s="69">
        <v>2000</v>
      </c>
      <c r="N108" s="65">
        <v>20</v>
      </c>
      <c r="O108" s="70"/>
      <c r="P108" s="65">
        <v>16553.2</v>
      </c>
      <c r="Q108" s="69" t="s">
        <v>4</v>
      </c>
      <c r="R108" s="72">
        <v>-26607.29999999999</v>
      </c>
      <c r="S108" s="65">
        <f t="shared" si="10"/>
        <v>364068.9</v>
      </c>
      <c r="T108" s="65">
        <v>1122380.2999999998</v>
      </c>
      <c r="U108" s="65">
        <f t="shared" si="11"/>
        <v>3.0828788177182944</v>
      </c>
    </row>
    <row r="109" spans="1:21" s="62" customFormat="1" ht="15.75">
      <c r="A109" s="64">
        <v>42552</v>
      </c>
      <c r="B109" s="65">
        <v>265902.6</v>
      </c>
      <c r="C109" s="65">
        <v>101091.2</v>
      </c>
      <c r="D109" s="65">
        <v>6715.9</v>
      </c>
      <c r="E109" s="65">
        <v>2646.6</v>
      </c>
      <c r="F109" s="65">
        <v>5193.3</v>
      </c>
      <c r="G109" s="65">
        <v>8.4</v>
      </c>
      <c r="H109" s="67">
        <v>772.4</v>
      </c>
      <c r="I109" s="65">
        <f t="shared" si="9"/>
        <v>382330.4</v>
      </c>
      <c r="J109" s="73">
        <v>-186226.3</v>
      </c>
      <c r="K109" s="65">
        <v>464133.8</v>
      </c>
      <c r="L109" s="69">
        <v>111437</v>
      </c>
      <c r="M109" s="69">
        <v>2000</v>
      </c>
      <c r="N109" s="65">
        <v>20</v>
      </c>
      <c r="O109" s="70"/>
      <c r="P109" s="65">
        <v>16490.9</v>
      </c>
      <c r="Q109" s="69" t="s">
        <v>4</v>
      </c>
      <c r="R109" s="72">
        <v>-25525</v>
      </c>
      <c r="S109" s="65">
        <f t="shared" si="10"/>
        <v>382330.4</v>
      </c>
      <c r="T109" s="65">
        <v>1124321</v>
      </c>
      <c r="U109" s="65">
        <f t="shared" si="11"/>
        <v>2.9407052120365003</v>
      </c>
    </row>
    <row r="110" spans="1:21" s="62" customFormat="1" ht="15.75">
      <c r="A110" s="64">
        <v>42583</v>
      </c>
      <c r="B110" s="65">
        <v>259211.2</v>
      </c>
      <c r="C110" s="65">
        <v>96485.6</v>
      </c>
      <c r="D110" s="65">
        <v>678.2</v>
      </c>
      <c r="E110" s="65">
        <v>3581.1</v>
      </c>
      <c r="F110" s="65">
        <v>4709.8</v>
      </c>
      <c r="G110" s="65">
        <v>5.4</v>
      </c>
      <c r="H110" s="67">
        <v>2762.9</v>
      </c>
      <c r="I110" s="65">
        <f t="shared" si="9"/>
        <v>367434.20000000007</v>
      </c>
      <c r="J110" s="73">
        <v>-192550.6</v>
      </c>
      <c r="K110" s="65">
        <v>464665.5</v>
      </c>
      <c r="L110" s="69">
        <v>101883</v>
      </c>
      <c r="M110" s="69">
        <v>2000</v>
      </c>
      <c r="N110" s="65">
        <v>20</v>
      </c>
      <c r="O110" s="70"/>
      <c r="P110" s="65">
        <v>16453.2</v>
      </c>
      <c r="Q110" s="69" t="s">
        <v>4</v>
      </c>
      <c r="R110" s="72">
        <v>-25036.89999999998</v>
      </c>
      <c r="S110" s="65">
        <f t="shared" si="10"/>
        <v>367434.20000000007</v>
      </c>
      <c r="T110" s="65">
        <v>1133928.8</v>
      </c>
      <c r="U110" s="65">
        <f t="shared" si="11"/>
        <v>3.0860730982581366</v>
      </c>
    </row>
    <row r="111" spans="1:21" s="62" customFormat="1" ht="15.75">
      <c r="A111" s="64">
        <v>42614</v>
      </c>
      <c r="B111" s="65">
        <v>254499.1</v>
      </c>
      <c r="C111" s="65">
        <v>124775.9</v>
      </c>
      <c r="D111" s="65">
        <v>834</v>
      </c>
      <c r="E111" s="65">
        <v>3523.6</v>
      </c>
      <c r="F111" s="65">
        <v>4926.1</v>
      </c>
      <c r="G111" s="65">
        <v>3.6</v>
      </c>
      <c r="H111" s="67">
        <v>1138.3</v>
      </c>
      <c r="I111" s="65">
        <f t="shared" si="9"/>
        <v>389700.5999999999</v>
      </c>
      <c r="J111" s="73">
        <v>-181601</v>
      </c>
      <c r="K111" s="65">
        <v>457923.6</v>
      </c>
      <c r="L111" s="69">
        <v>118705</v>
      </c>
      <c r="M111" s="69">
        <v>2000</v>
      </c>
      <c r="N111" s="65">
        <v>20</v>
      </c>
      <c r="O111" s="70"/>
      <c r="P111" s="65">
        <v>16291.4</v>
      </c>
      <c r="Q111" s="69" t="s">
        <v>4</v>
      </c>
      <c r="R111" s="72">
        <v>-23638.40000000001</v>
      </c>
      <c r="S111" s="65">
        <f t="shared" si="10"/>
        <v>389700.6</v>
      </c>
      <c r="T111" s="65">
        <v>1136853.5</v>
      </c>
      <c r="U111" s="65">
        <f t="shared" si="11"/>
        <v>2.9172485236101773</v>
      </c>
    </row>
    <row r="112" spans="1:21" s="62" customFormat="1" ht="15.75">
      <c r="A112" s="64">
        <v>42644</v>
      </c>
      <c r="B112" s="65">
        <v>254519.8</v>
      </c>
      <c r="C112" s="65">
        <v>112931.8</v>
      </c>
      <c r="D112" s="65">
        <v>1498.7</v>
      </c>
      <c r="E112" s="65">
        <v>3149.6</v>
      </c>
      <c r="F112" s="65">
        <v>3531.1</v>
      </c>
      <c r="G112" s="65">
        <v>5.2</v>
      </c>
      <c r="H112" s="67">
        <v>1875</v>
      </c>
      <c r="I112" s="65">
        <f t="shared" si="9"/>
        <v>377511.19999999995</v>
      </c>
      <c r="J112" s="73">
        <v>-181634.80000000002</v>
      </c>
      <c r="K112" s="65">
        <v>470608.2</v>
      </c>
      <c r="L112" s="69">
        <v>101274</v>
      </c>
      <c r="M112" s="69">
        <v>2000</v>
      </c>
      <c r="N112" s="65">
        <v>20</v>
      </c>
      <c r="O112" s="70"/>
      <c r="P112" s="65">
        <v>16036.3</v>
      </c>
      <c r="Q112" s="69" t="s">
        <v>4</v>
      </c>
      <c r="R112" s="72">
        <v>-30792.5</v>
      </c>
      <c r="S112" s="65">
        <f t="shared" si="10"/>
        <v>377511.2</v>
      </c>
      <c r="T112" s="65">
        <v>1142474.4666666666</v>
      </c>
      <c r="U112" s="65">
        <f t="shared" si="11"/>
        <v>3.0263326403737603</v>
      </c>
    </row>
    <row r="113" spans="1:21" s="62" customFormat="1" ht="15.75">
      <c r="A113" s="64">
        <v>42675</v>
      </c>
      <c r="B113" s="65">
        <v>255283.4</v>
      </c>
      <c r="C113" s="65">
        <v>125278.8</v>
      </c>
      <c r="D113" s="65">
        <v>8178.4</v>
      </c>
      <c r="E113" s="65">
        <v>2943.8</v>
      </c>
      <c r="F113" s="65">
        <v>9000.1</v>
      </c>
      <c r="G113" s="65">
        <v>3.2</v>
      </c>
      <c r="H113" s="67">
        <v>1378.3</v>
      </c>
      <c r="I113" s="65">
        <f t="shared" si="9"/>
        <v>402066</v>
      </c>
      <c r="J113" s="73">
        <v>-174078</v>
      </c>
      <c r="K113" s="65">
        <v>494743.1</v>
      </c>
      <c r="L113" s="69">
        <v>101050</v>
      </c>
      <c r="M113" s="69">
        <v>2000</v>
      </c>
      <c r="N113" s="65">
        <v>20</v>
      </c>
      <c r="O113" s="70"/>
      <c r="P113" s="65">
        <v>15955.6</v>
      </c>
      <c r="Q113" s="69" t="s">
        <v>4</v>
      </c>
      <c r="R113" s="72">
        <v>-37624.69999999999</v>
      </c>
      <c r="S113" s="65">
        <f t="shared" si="10"/>
        <v>402065.99999999994</v>
      </c>
      <c r="T113" s="65">
        <v>1162715.7888888887</v>
      </c>
      <c r="U113" s="65">
        <f t="shared" si="11"/>
        <v>2.891853051212708</v>
      </c>
    </row>
    <row r="114" spans="1:21" s="62" customFormat="1" ht="15.75">
      <c r="A114" s="64">
        <v>42705</v>
      </c>
      <c r="B114" s="65">
        <v>267512.5</v>
      </c>
      <c r="C114" s="65">
        <v>134302.8</v>
      </c>
      <c r="D114" s="65">
        <v>5995.8</v>
      </c>
      <c r="E114" s="65">
        <v>3575.7</v>
      </c>
      <c r="F114" s="65">
        <v>6509.8</v>
      </c>
      <c r="G114" s="65">
        <v>7.7</v>
      </c>
      <c r="H114" s="67">
        <v>1319.7</v>
      </c>
      <c r="I114" s="65">
        <f t="shared" si="9"/>
        <v>419224</v>
      </c>
      <c r="J114" s="73">
        <v>-162073.80000000002</v>
      </c>
      <c r="K114" s="65">
        <v>509226.20000000007</v>
      </c>
      <c r="L114" s="69">
        <v>87000</v>
      </c>
      <c r="M114" s="69">
        <v>2000</v>
      </c>
      <c r="N114" s="65">
        <v>20</v>
      </c>
      <c r="O114" s="70"/>
      <c r="P114" s="65">
        <v>15731</v>
      </c>
      <c r="Q114" s="69" t="s">
        <v>4</v>
      </c>
      <c r="R114" s="72">
        <v>-32679.39999999999</v>
      </c>
      <c r="S114" s="65">
        <f t="shared" si="10"/>
        <v>419224.00000000006</v>
      </c>
      <c r="T114" s="65">
        <v>1187101.8</v>
      </c>
      <c r="U114" s="65">
        <f t="shared" si="11"/>
        <v>2.8316646947693838</v>
      </c>
    </row>
    <row r="115" spans="1:21" s="62" customFormat="1" ht="15.75">
      <c r="A115" s="64">
        <v>42766</v>
      </c>
      <c r="B115" s="65">
        <v>257413.7</v>
      </c>
      <c r="C115" s="65">
        <v>190039</v>
      </c>
      <c r="D115" s="65">
        <v>5009.2</v>
      </c>
      <c r="E115" s="65">
        <v>2479</v>
      </c>
      <c r="F115" s="65">
        <v>5833.8</v>
      </c>
      <c r="G115" s="65">
        <v>2.2</v>
      </c>
      <c r="H115" s="67">
        <v>22330.5</v>
      </c>
      <c r="I115" s="65">
        <f aca="true" t="shared" si="12" ref="I115:I178">H115+F115+E115+C115+B115+G115+D115</f>
        <v>483107.4</v>
      </c>
      <c r="J115" s="73">
        <v>-140840.69999999998</v>
      </c>
      <c r="K115" s="65">
        <v>518823.8999999999</v>
      </c>
      <c r="L115" s="69">
        <v>115936.4</v>
      </c>
      <c r="M115" s="69">
        <v>1000</v>
      </c>
      <c r="N115" s="65">
        <v>20</v>
      </c>
      <c r="O115" s="70"/>
      <c r="P115" s="65">
        <v>16300.9</v>
      </c>
      <c r="Q115" s="69" t="s">
        <v>4</v>
      </c>
      <c r="R115" s="72">
        <v>-28133.09999999998</v>
      </c>
      <c r="S115" s="65">
        <f t="shared" si="10"/>
        <v>483107.4</v>
      </c>
      <c r="T115" s="65">
        <v>1226183.0666666667</v>
      </c>
      <c r="U115" s="65">
        <f t="shared" si="11"/>
        <v>2.5381169211373424</v>
      </c>
    </row>
    <row r="116" spans="1:21" s="62" customFormat="1" ht="15.75">
      <c r="A116" s="64">
        <v>42794</v>
      </c>
      <c r="B116" s="65">
        <v>258459.9</v>
      </c>
      <c r="C116" s="65">
        <v>164896.8</v>
      </c>
      <c r="D116" s="65">
        <v>4951.3</v>
      </c>
      <c r="E116" s="65">
        <v>1876.3999999999999</v>
      </c>
      <c r="F116" s="65">
        <v>6435.300000000001</v>
      </c>
      <c r="G116" s="65">
        <v>2.2</v>
      </c>
      <c r="H116" s="67">
        <v>22811.899999999998</v>
      </c>
      <c r="I116" s="65">
        <f t="shared" si="12"/>
        <v>459433.8</v>
      </c>
      <c r="J116" s="73">
        <v>-116167</v>
      </c>
      <c r="K116" s="65">
        <v>494749</v>
      </c>
      <c r="L116" s="69">
        <v>95000</v>
      </c>
      <c r="M116" s="69">
        <v>1000</v>
      </c>
      <c r="N116" s="65">
        <v>20</v>
      </c>
      <c r="O116" s="70"/>
      <c r="P116" s="65">
        <v>18796.7</v>
      </c>
      <c r="Q116" s="69" t="s">
        <v>4</v>
      </c>
      <c r="R116" s="72">
        <v>-33964.89999999998</v>
      </c>
      <c r="S116" s="65">
        <f t="shared" si="10"/>
        <v>459433.80000000005</v>
      </c>
      <c r="T116" s="65">
        <v>1253536.8333333333</v>
      </c>
      <c r="U116" s="65">
        <f t="shared" si="11"/>
        <v>2.728438424280785</v>
      </c>
    </row>
    <row r="117" spans="1:21" s="62" customFormat="1" ht="15.75">
      <c r="A117" s="64">
        <v>42825</v>
      </c>
      <c r="B117" s="65">
        <v>267562.4</v>
      </c>
      <c r="C117" s="65">
        <v>167615</v>
      </c>
      <c r="D117" s="65">
        <v>14379.7</v>
      </c>
      <c r="E117" s="65">
        <v>2634.1</v>
      </c>
      <c r="F117" s="65">
        <v>12223.899999999998</v>
      </c>
      <c r="G117" s="65">
        <v>157.1</v>
      </c>
      <c r="H117" s="67">
        <v>21755.6</v>
      </c>
      <c r="I117" s="65">
        <f t="shared" si="12"/>
        <v>486327.8</v>
      </c>
      <c r="J117" s="73">
        <v>-133135.90000000002</v>
      </c>
      <c r="K117" s="65">
        <v>544205.1</v>
      </c>
      <c r="L117" s="69">
        <v>87840</v>
      </c>
      <c r="M117" s="69">
        <v>1000</v>
      </c>
      <c r="N117" s="65">
        <v>20</v>
      </c>
      <c r="O117" s="70"/>
      <c r="P117" s="65">
        <v>20527</v>
      </c>
      <c r="Q117" s="69" t="s">
        <v>4</v>
      </c>
      <c r="R117" s="72">
        <v>-34128.39999999999</v>
      </c>
      <c r="S117" s="65">
        <f t="shared" si="10"/>
        <v>486327.8</v>
      </c>
      <c r="T117" s="65">
        <v>1299479.7</v>
      </c>
      <c r="U117" s="65">
        <f t="shared" si="11"/>
        <v>2.6720243013045932</v>
      </c>
    </row>
    <row r="118" spans="1:21" s="62" customFormat="1" ht="15.75">
      <c r="A118" s="64">
        <v>42855</v>
      </c>
      <c r="B118" s="65">
        <v>269369.5</v>
      </c>
      <c r="C118" s="65">
        <v>160086.1</v>
      </c>
      <c r="D118" s="65">
        <v>11933.800000000001</v>
      </c>
      <c r="E118" s="65">
        <v>2462.2000000000003</v>
      </c>
      <c r="F118" s="65">
        <v>11015.3</v>
      </c>
      <c r="G118" s="65">
        <v>89.2</v>
      </c>
      <c r="H118" s="67">
        <v>27316.7</v>
      </c>
      <c r="I118" s="65">
        <f t="shared" si="12"/>
        <v>482272.8</v>
      </c>
      <c r="J118" s="73">
        <v>-140187.20000000004</v>
      </c>
      <c r="K118" s="65">
        <v>534377.3</v>
      </c>
      <c r="L118" s="69">
        <v>100000</v>
      </c>
      <c r="M118" s="69">
        <v>1000</v>
      </c>
      <c r="N118" s="65">
        <v>20</v>
      </c>
      <c r="O118" s="70"/>
      <c r="P118" s="65">
        <v>21248.3</v>
      </c>
      <c r="Q118" s="69" t="s">
        <v>4</v>
      </c>
      <c r="R118" s="72">
        <v>-34185.599999999984</v>
      </c>
      <c r="S118" s="65">
        <f t="shared" si="10"/>
        <v>482272.8</v>
      </c>
      <c r="T118" s="65">
        <v>1334499.8</v>
      </c>
      <c r="U118" s="65">
        <f t="shared" si="11"/>
        <v>2.767105671313</v>
      </c>
    </row>
    <row r="119" spans="1:21" s="62" customFormat="1" ht="15.75">
      <c r="A119" s="64">
        <v>42886</v>
      </c>
      <c r="B119" s="65">
        <v>276838.1</v>
      </c>
      <c r="C119" s="65">
        <v>152045.6</v>
      </c>
      <c r="D119" s="65">
        <v>11390.6</v>
      </c>
      <c r="E119" s="65">
        <v>1629.7999999999997</v>
      </c>
      <c r="F119" s="65">
        <v>13862.1</v>
      </c>
      <c r="G119" s="65">
        <v>29.3</v>
      </c>
      <c r="H119" s="67">
        <v>35984.9</v>
      </c>
      <c r="I119" s="65">
        <f t="shared" si="12"/>
        <v>491780.39999999997</v>
      </c>
      <c r="J119" s="73">
        <v>-104424.50000000006</v>
      </c>
      <c r="K119" s="65">
        <v>505175.29999999993</v>
      </c>
      <c r="L119" s="69">
        <v>100165.4</v>
      </c>
      <c r="M119" s="69">
        <v>1000</v>
      </c>
      <c r="N119" s="65">
        <v>20</v>
      </c>
      <c r="O119" s="70"/>
      <c r="P119" s="65">
        <v>22163.4</v>
      </c>
      <c r="Q119" s="69" t="s">
        <v>4</v>
      </c>
      <c r="R119" s="72">
        <v>-32319.19999999999</v>
      </c>
      <c r="S119" s="65">
        <f t="shared" si="10"/>
        <v>491780.39999999985</v>
      </c>
      <c r="T119" s="65">
        <v>1372733.4999999998</v>
      </c>
      <c r="U119" s="65">
        <f t="shared" si="11"/>
        <v>2.7913546371510534</v>
      </c>
    </row>
    <row r="120" spans="1:21" s="62" customFormat="1" ht="15.75">
      <c r="A120" s="64">
        <v>42916</v>
      </c>
      <c r="B120" s="65">
        <v>301775.5</v>
      </c>
      <c r="C120" s="65">
        <v>101969.2</v>
      </c>
      <c r="D120" s="65">
        <v>12376</v>
      </c>
      <c r="E120" s="65">
        <v>2615.3999999999996</v>
      </c>
      <c r="F120" s="65">
        <v>17691.3</v>
      </c>
      <c r="G120" s="65">
        <v>11</v>
      </c>
      <c r="H120" s="67">
        <v>31187.100000000002</v>
      </c>
      <c r="I120" s="65">
        <f t="shared" si="12"/>
        <v>467625.5</v>
      </c>
      <c r="J120" s="73">
        <v>-140476.99999999994</v>
      </c>
      <c r="K120" s="65">
        <v>542983.6000000001</v>
      </c>
      <c r="L120" s="69">
        <v>69737.5</v>
      </c>
      <c r="M120" s="69">
        <v>1000</v>
      </c>
      <c r="N120" s="65">
        <v>20</v>
      </c>
      <c r="O120" s="70"/>
      <c r="P120" s="65">
        <v>22527.9</v>
      </c>
      <c r="Q120" s="69" t="s">
        <v>4</v>
      </c>
      <c r="R120" s="72">
        <v>-28166.499999999993</v>
      </c>
      <c r="S120" s="65">
        <f t="shared" si="10"/>
        <v>467625.5000000002</v>
      </c>
      <c r="T120" s="65">
        <v>1417053.1</v>
      </c>
      <c r="U120" s="65">
        <f t="shared" si="11"/>
        <v>3.0303161397314735</v>
      </c>
    </row>
    <row r="121" spans="1:21" s="62" customFormat="1" ht="15.75">
      <c r="A121" s="64">
        <v>42947</v>
      </c>
      <c r="B121" s="65">
        <v>304085.6</v>
      </c>
      <c r="C121" s="65">
        <v>97125.9</v>
      </c>
      <c r="D121" s="65">
        <v>13864.5</v>
      </c>
      <c r="E121" s="65">
        <v>1957.6</v>
      </c>
      <c r="F121" s="65">
        <v>20166.2</v>
      </c>
      <c r="G121" s="65">
        <v>7.9</v>
      </c>
      <c r="H121" s="67">
        <v>30645</v>
      </c>
      <c r="I121" s="65">
        <f t="shared" si="12"/>
        <v>467852.69999999995</v>
      </c>
      <c r="J121" s="73">
        <v>-165541.40000000002</v>
      </c>
      <c r="K121" s="65">
        <v>517423.10000000003</v>
      </c>
      <c r="L121" s="69">
        <v>111898.5</v>
      </c>
      <c r="M121" s="69">
        <v>1000</v>
      </c>
      <c r="N121" s="65">
        <v>20</v>
      </c>
      <c r="O121" s="70"/>
      <c r="P121" s="65">
        <v>23671.7</v>
      </c>
      <c r="Q121" s="69" t="s">
        <v>4</v>
      </c>
      <c r="R121" s="72">
        <v>-20619.199999999997</v>
      </c>
      <c r="S121" s="65">
        <f t="shared" si="10"/>
        <v>467852.7</v>
      </c>
      <c r="T121" s="65">
        <v>1420411.4166666667</v>
      </c>
      <c r="U121" s="65">
        <f t="shared" si="11"/>
        <v>3.03602269831224</v>
      </c>
    </row>
    <row r="122" spans="1:21" s="62" customFormat="1" ht="15.75">
      <c r="A122" s="64">
        <v>42978</v>
      </c>
      <c r="B122" s="65">
        <v>307668.6</v>
      </c>
      <c r="C122" s="65">
        <v>142342.4</v>
      </c>
      <c r="D122" s="65">
        <v>5930</v>
      </c>
      <c r="E122" s="65">
        <v>1440.9</v>
      </c>
      <c r="F122" s="65">
        <v>19397.8</v>
      </c>
      <c r="G122" s="65">
        <v>16.2</v>
      </c>
      <c r="H122" s="67">
        <v>30509.1</v>
      </c>
      <c r="I122" s="65">
        <f t="shared" si="12"/>
        <v>507304.99999999994</v>
      </c>
      <c r="J122" s="73">
        <v>-141377.3</v>
      </c>
      <c r="K122" s="65">
        <v>527189.8999999999</v>
      </c>
      <c r="L122" s="69">
        <v>107910</v>
      </c>
      <c r="M122" s="69">
        <v>0</v>
      </c>
      <c r="N122" s="65">
        <v>20</v>
      </c>
      <c r="O122" s="70"/>
      <c r="P122" s="65">
        <v>23202.3</v>
      </c>
      <c r="Q122" s="69" t="s">
        <v>4</v>
      </c>
      <c r="R122" s="72">
        <v>-9639.89999999997</v>
      </c>
      <c r="S122" s="65">
        <f t="shared" si="10"/>
        <v>507304.99999999994</v>
      </c>
      <c r="T122" s="65">
        <v>1436509.0333333332</v>
      </c>
      <c r="U122" s="65">
        <f t="shared" si="11"/>
        <v>2.8316476938593813</v>
      </c>
    </row>
    <row r="123" spans="1:21" s="62" customFormat="1" ht="15.75">
      <c r="A123" s="64">
        <v>43008</v>
      </c>
      <c r="B123" s="65">
        <v>297683.1</v>
      </c>
      <c r="C123" s="65">
        <v>156387.7</v>
      </c>
      <c r="D123" s="65">
        <v>9305.3</v>
      </c>
      <c r="E123" s="65">
        <v>2490.4</v>
      </c>
      <c r="F123" s="65">
        <v>25793.7</v>
      </c>
      <c r="G123" s="65">
        <v>6.3</v>
      </c>
      <c r="H123" s="67">
        <v>31699.3</v>
      </c>
      <c r="I123" s="65">
        <f t="shared" si="12"/>
        <v>523365.79999999993</v>
      </c>
      <c r="J123" s="73">
        <v>-134023.80000000002</v>
      </c>
      <c r="K123" s="65">
        <v>509123.6</v>
      </c>
      <c r="L123" s="69">
        <v>123150</v>
      </c>
      <c r="M123" s="69">
        <v>0</v>
      </c>
      <c r="N123" s="65">
        <v>20</v>
      </c>
      <c r="O123" s="70"/>
      <c r="P123" s="65">
        <v>23325.1</v>
      </c>
      <c r="Q123" s="69" t="s">
        <v>4</v>
      </c>
      <c r="R123" s="72">
        <v>1770.9000000000028</v>
      </c>
      <c r="S123" s="65">
        <f t="shared" si="10"/>
        <v>523365.79999999993</v>
      </c>
      <c r="T123" s="65">
        <v>1428077.7500000002</v>
      </c>
      <c r="U123" s="65">
        <f t="shared" si="11"/>
        <v>2.728641707196</v>
      </c>
    </row>
    <row r="124" spans="1:21" s="62" customFormat="1" ht="15.75">
      <c r="A124" s="64">
        <v>43039</v>
      </c>
      <c r="B124" s="65">
        <v>289035.9</v>
      </c>
      <c r="C124" s="65">
        <v>161445.5</v>
      </c>
      <c r="D124" s="65">
        <v>8725.3</v>
      </c>
      <c r="E124" s="65">
        <v>1731.9</v>
      </c>
      <c r="F124" s="65">
        <v>19832.3</v>
      </c>
      <c r="G124" s="65">
        <v>0.7</v>
      </c>
      <c r="H124" s="67">
        <v>33748.3</v>
      </c>
      <c r="I124" s="65">
        <f t="shared" si="12"/>
        <v>514519.9</v>
      </c>
      <c r="J124" s="73">
        <v>-126420.5</v>
      </c>
      <c r="K124" s="65">
        <v>512627.1</v>
      </c>
      <c r="L124" s="69">
        <v>118810</v>
      </c>
      <c r="M124" s="69">
        <v>0</v>
      </c>
      <c r="N124" s="65">
        <v>20</v>
      </c>
      <c r="O124" s="70"/>
      <c r="P124" s="65">
        <v>22927.7</v>
      </c>
      <c r="Q124" s="69" t="s">
        <v>4</v>
      </c>
      <c r="R124" s="72">
        <v>-13444.39999999999</v>
      </c>
      <c r="S124" s="65">
        <f t="shared" si="10"/>
        <v>514519.89999999997</v>
      </c>
      <c r="T124" s="65">
        <v>1448987.7999999998</v>
      </c>
      <c r="U124" s="65">
        <f t="shared" si="11"/>
        <v>2.8161938925977394</v>
      </c>
    </row>
    <row r="125" spans="1:21" s="62" customFormat="1" ht="15.75">
      <c r="A125" s="64">
        <v>43069</v>
      </c>
      <c r="B125" s="65">
        <v>290455.6</v>
      </c>
      <c r="C125" s="65">
        <v>161605.9</v>
      </c>
      <c r="D125" s="65">
        <v>9104.8</v>
      </c>
      <c r="E125" s="65">
        <v>2342.8</v>
      </c>
      <c r="F125" s="65">
        <v>20719.8</v>
      </c>
      <c r="G125" s="65">
        <v>15.6</v>
      </c>
      <c r="H125" s="67">
        <v>32145.3</v>
      </c>
      <c r="I125" s="65">
        <f t="shared" si="12"/>
        <v>516389.79999999993</v>
      </c>
      <c r="J125" s="73">
        <v>-145157.30000000002</v>
      </c>
      <c r="K125" s="65">
        <v>504296.2</v>
      </c>
      <c r="L125" s="69">
        <v>134100</v>
      </c>
      <c r="M125" s="69">
        <v>0</v>
      </c>
      <c r="N125" s="65">
        <v>20</v>
      </c>
      <c r="O125" s="70"/>
      <c r="P125" s="65">
        <v>22863.1</v>
      </c>
      <c r="Q125" s="69" t="s">
        <v>4</v>
      </c>
      <c r="R125" s="72">
        <v>267.80000000001746</v>
      </c>
      <c r="S125" s="65">
        <f t="shared" si="10"/>
        <v>516389.80000000005</v>
      </c>
      <c r="T125" s="65">
        <v>1465561.4500000002</v>
      </c>
      <c r="U125" s="65">
        <f t="shared" si="11"/>
        <v>2.8380913991717116</v>
      </c>
    </row>
    <row r="126" spans="1:21" s="62" customFormat="1" ht="15.75">
      <c r="A126" s="64">
        <v>43100</v>
      </c>
      <c r="B126" s="65">
        <v>308146.3</v>
      </c>
      <c r="C126" s="65">
        <v>221165.7</v>
      </c>
      <c r="D126" s="65">
        <v>2688.4</v>
      </c>
      <c r="E126" s="65">
        <v>2169.6</v>
      </c>
      <c r="F126" s="65">
        <v>18092.1</v>
      </c>
      <c r="G126" s="65">
        <v>20</v>
      </c>
      <c r="H126" s="67">
        <v>28588.8</v>
      </c>
      <c r="I126" s="65">
        <f t="shared" si="12"/>
        <v>580870.9</v>
      </c>
      <c r="J126" s="73">
        <v>-144480.39999999997</v>
      </c>
      <c r="K126" s="65">
        <v>528460.3999999999</v>
      </c>
      <c r="L126" s="69">
        <v>159990</v>
      </c>
      <c r="M126" s="69">
        <v>0</v>
      </c>
      <c r="N126" s="65">
        <v>20</v>
      </c>
      <c r="O126" s="70"/>
      <c r="P126" s="65">
        <v>22686.1</v>
      </c>
      <c r="Q126" s="69" t="s">
        <v>4</v>
      </c>
      <c r="R126" s="72">
        <v>14194.800000000032</v>
      </c>
      <c r="S126" s="65">
        <f t="shared" si="10"/>
        <v>580870.9</v>
      </c>
      <c r="T126" s="65">
        <v>1499512.9000000001</v>
      </c>
      <c r="U126" s="65">
        <f t="shared" si="11"/>
        <v>2.581490826963444</v>
      </c>
    </row>
    <row r="127" spans="1:21" s="62" customFormat="1" ht="15.75">
      <c r="A127" s="64">
        <v>43131</v>
      </c>
      <c r="B127" s="65">
        <v>293218</v>
      </c>
      <c r="C127" s="65">
        <v>203592.7</v>
      </c>
      <c r="D127" s="65">
        <v>9511.6</v>
      </c>
      <c r="E127" s="65">
        <v>1738.8</v>
      </c>
      <c r="F127" s="65">
        <v>21108.4</v>
      </c>
      <c r="G127" s="65">
        <v>10.4</v>
      </c>
      <c r="H127" s="67">
        <v>31212.600000000002</v>
      </c>
      <c r="I127" s="65">
        <f t="shared" si="12"/>
        <v>560392.5</v>
      </c>
      <c r="J127" s="73">
        <v>-165010.8</v>
      </c>
      <c r="K127" s="65">
        <v>495587.20000000007</v>
      </c>
      <c r="L127" s="69">
        <v>174680</v>
      </c>
      <c r="M127" s="69">
        <v>0</v>
      </c>
      <c r="N127" s="65">
        <v>20</v>
      </c>
      <c r="O127" s="70"/>
      <c r="P127" s="65">
        <v>23114.8</v>
      </c>
      <c r="Q127" s="69" t="s">
        <v>4</v>
      </c>
      <c r="R127" s="72">
        <v>32001.300000000014</v>
      </c>
      <c r="S127" s="65">
        <f t="shared" si="10"/>
        <v>560392.5000000001</v>
      </c>
      <c r="T127" s="65">
        <v>1518403.9</v>
      </c>
      <c r="U127" s="65">
        <f t="shared" si="11"/>
        <v>2.709536440976637</v>
      </c>
    </row>
    <row r="128" spans="1:21" s="62" customFormat="1" ht="15.75">
      <c r="A128" s="64">
        <v>43159</v>
      </c>
      <c r="B128" s="65">
        <v>298489.9</v>
      </c>
      <c r="C128" s="65">
        <v>188388</v>
      </c>
      <c r="D128" s="65">
        <v>9623.2</v>
      </c>
      <c r="E128" s="65">
        <v>3051.2</v>
      </c>
      <c r="F128" s="65">
        <v>12736.900000000001</v>
      </c>
      <c r="G128" s="65">
        <v>16.2</v>
      </c>
      <c r="H128" s="67">
        <v>32674.300000000003</v>
      </c>
      <c r="I128" s="65">
        <f t="shared" si="12"/>
        <v>544979.7</v>
      </c>
      <c r="J128" s="73">
        <v>-136231.60000000003</v>
      </c>
      <c r="K128" s="65">
        <v>492009.6000000001</v>
      </c>
      <c r="L128" s="69">
        <v>172670</v>
      </c>
      <c r="M128" s="69">
        <v>0</v>
      </c>
      <c r="N128" s="65">
        <v>20</v>
      </c>
      <c r="O128" s="70"/>
      <c r="P128" s="65">
        <v>22883.600000000002</v>
      </c>
      <c r="Q128" s="69" t="s">
        <v>4</v>
      </c>
      <c r="R128" s="72">
        <v>-6371.899999999994</v>
      </c>
      <c r="S128" s="65">
        <f t="shared" si="10"/>
        <v>544979.7</v>
      </c>
      <c r="T128" s="65">
        <v>1551244.4</v>
      </c>
      <c r="U128" s="65">
        <f t="shared" si="11"/>
        <v>2.8464260228408507</v>
      </c>
    </row>
    <row r="129" spans="1:21" s="62" customFormat="1" ht="15.75">
      <c r="A129" s="64">
        <v>43190</v>
      </c>
      <c r="B129" s="65">
        <v>302042.8</v>
      </c>
      <c r="C129" s="65">
        <v>151882.30000000002</v>
      </c>
      <c r="D129" s="65">
        <v>12465.900000000001</v>
      </c>
      <c r="E129" s="65">
        <v>1222.4</v>
      </c>
      <c r="F129" s="65">
        <v>18559.899999999998</v>
      </c>
      <c r="G129" s="65">
        <v>19.3</v>
      </c>
      <c r="H129" s="67">
        <v>32478.600000000002</v>
      </c>
      <c r="I129" s="65">
        <f t="shared" si="12"/>
        <v>518671.2</v>
      </c>
      <c r="J129" s="73">
        <v>-180109.99999999997</v>
      </c>
      <c r="K129" s="65">
        <v>483446</v>
      </c>
      <c r="L129" s="69">
        <v>185103.2</v>
      </c>
      <c r="M129" s="69">
        <v>0</v>
      </c>
      <c r="N129" s="65">
        <v>20</v>
      </c>
      <c r="O129" s="70"/>
      <c r="P129" s="65">
        <v>23078.2</v>
      </c>
      <c r="Q129" s="69" t="s">
        <v>4</v>
      </c>
      <c r="R129" s="72">
        <v>7133.799999999977</v>
      </c>
      <c r="S129" s="65">
        <f t="shared" si="10"/>
        <v>518671.2</v>
      </c>
      <c r="T129" s="65">
        <v>1576438.5</v>
      </c>
      <c r="U129" s="65">
        <f t="shared" si="11"/>
        <v>3.0393792830602506</v>
      </c>
    </row>
    <row r="130" spans="1:21" s="62" customFormat="1" ht="15.75">
      <c r="A130" s="64">
        <v>43220</v>
      </c>
      <c r="B130" s="65">
        <v>300253.3</v>
      </c>
      <c r="C130" s="65">
        <v>200369.1</v>
      </c>
      <c r="D130" s="65">
        <v>11112.6</v>
      </c>
      <c r="E130" s="65">
        <v>1233.5000000000002</v>
      </c>
      <c r="F130" s="65">
        <v>14744.399999999998</v>
      </c>
      <c r="G130" s="65">
        <v>10.7</v>
      </c>
      <c r="H130" s="67">
        <v>34299.9</v>
      </c>
      <c r="I130" s="65">
        <f t="shared" si="12"/>
        <v>562023.4999999999</v>
      </c>
      <c r="J130" s="73">
        <v>-152351.8</v>
      </c>
      <c r="K130" s="65">
        <v>440070.4000000001</v>
      </c>
      <c r="L130" s="69">
        <v>242832.2</v>
      </c>
      <c r="M130" s="69">
        <v>0</v>
      </c>
      <c r="N130" s="65">
        <v>20</v>
      </c>
      <c r="O130" s="70"/>
      <c r="P130" s="65">
        <v>23228.6</v>
      </c>
      <c r="Q130" s="69" t="s">
        <v>4</v>
      </c>
      <c r="R130" s="72">
        <v>8224.099999999977</v>
      </c>
      <c r="S130" s="65">
        <f t="shared" si="10"/>
        <v>562023.5</v>
      </c>
      <c r="T130" s="65">
        <v>1573210</v>
      </c>
      <c r="U130" s="65">
        <f t="shared" si="11"/>
        <v>2.7991890018833736</v>
      </c>
    </row>
    <row r="131" spans="1:21" s="62" customFormat="1" ht="15.75">
      <c r="A131" s="64">
        <v>43251</v>
      </c>
      <c r="B131" s="65">
        <v>305467.7</v>
      </c>
      <c r="C131" s="65">
        <v>185292.6</v>
      </c>
      <c r="D131" s="65">
        <v>4427.900000000001</v>
      </c>
      <c r="E131" s="65">
        <v>2034.9</v>
      </c>
      <c r="F131" s="65">
        <v>12533.9</v>
      </c>
      <c r="G131" s="65">
        <v>24.9</v>
      </c>
      <c r="H131" s="67">
        <v>29000.7</v>
      </c>
      <c r="I131" s="65">
        <f t="shared" si="12"/>
        <v>538782.6000000001</v>
      </c>
      <c r="J131" s="73">
        <v>-171824.40000000002</v>
      </c>
      <c r="K131" s="65">
        <v>437008.49999999994</v>
      </c>
      <c r="L131" s="69">
        <v>240220</v>
      </c>
      <c r="M131" s="69">
        <v>0</v>
      </c>
      <c r="N131" s="65">
        <v>20</v>
      </c>
      <c r="O131" s="70"/>
      <c r="P131" s="65">
        <v>23706.800000000003</v>
      </c>
      <c r="Q131" s="69" t="s">
        <v>4</v>
      </c>
      <c r="R131" s="72">
        <v>9651.7</v>
      </c>
      <c r="S131" s="65">
        <f t="shared" si="10"/>
        <v>538782.5999999999</v>
      </c>
      <c r="T131" s="65">
        <v>1587421.3000000005</v>
      </c>
      <c r="U131" s="65">
        <f t="shared" si="11"/>
        <v>2.9463113693723595</v>
      </c>
    </row>
    <row r="132" spans="1:21" s="62" customFormat="1" ht="15.75">
      <c r="A132" s="64">
        <v>43281</v>
      </c>
      <c r="B132" s="65">
        <v>334282.7</v>
      </c>
      <c r="C132" s="65">
        <v>161888.4</v>
      </c>
      <c r="D132" s="65">
        <v>3460.1000000000004</v>
      </c>
      <c r="E132" s="65">
        <v>1303.3</v>
      </c>
      <c r="F132" s="65">
        <v>18483.5</v>
      </c>
      <c r="G132" s="65">
        <v>27.6</v>
      </c>
      <c r="H132" s="67">
        <v>29101.3</v>
      </c>
      <c r="I132" s="65">
        <f t="shared" si="12"/>
        <v>548546.8999999999</v>
      </c>
      <c r="J132" s="73">
        <v>-175279.1</v>
      </c>
      <c r="K132" s="65">
        <v>408472.6</v>
      </c>
      <c r="L132" s="69">
        <v>283075.3</v>
      </c>
      <c r="M132" s="69">
        <v>0</v>
      </c>
      <c r="N132" s="65">
        <v>20</v>
      </c>
      <c r="O132" s="70"/>
      <c r="P132" s="65">
        <v>23885.4</v>
      </c>
      <c r="Q132" s="69" t="s">
        <v>4</v>
      </c>
      <c r="R132" s="72">
        <v>8372.700000000052</v>
      </c>
      <c r="S132" s="65">
        <f t="shared" si="10"/>
        <v>548546.9</v>
      </c>
      <c r="T132" s="65">
        <v>1620461.3000000003</v>
      </c>
      <c r="U132" s="65">
        <f t="shared" si="11"/>
        <v>2.954097999642329</v>
      </c>
    </row>
    <row r="133" spans="1:21" s="62" customFormat="1" ht="15.75">
      <c r="A133" s="64">
        <v>43312</v>
      </c>
      <c r="B133" s="65">
        <v>333488.6</v>
      </c>
      <c r="C133" s="65">
        <v>188607</v>
      </c>
      <c r="D133" s="65">
        <v>3510.5</v>
      </c>
      <c r="E133" s="65">
        <v>1366.2</v>
      </c>
      <c r="F133" s="65">
        <v>14317</v>
      </c>
      <c r="G133" s="65">
        <v>11.1</v>
      </c>
      <c r="H133" s="67">
        <v>36138.3</v>
      </c>
      <c r="I133" s="65">
        <f t="shared" si="12"/>
        <v>577438.7</v>
      </c>
      <c r="J133" s="73">
        <v>-174985.09999999998</v>
      </c>
      <c r="K133" s="65">
        <v>418299.7</v>
      </c>
      <c r="L133" s="69">
        <v>290770</v>
      </c>
      <c r="M133" s="69">
        <v>0</v>
      </c>
      <c r="N133" s="65">
        <v>20</v>
      </c>
      <c r="O133" s="70"/>
      <c r="P133" s="65">
        <v>23975</v>
      </c>
      <c r="Q133" s="69" t="s">
        <v>4</v>
      </c>
      <c r="R133" s="72">
        <v>19359.100000000053</v>
      </c>
      <c r="S133" s="65">
        <f t="shared" si="10"/>
        <v>577438.7000000002</v>
      </c>
      <c r="T133" s="65">
        <v>1652078.5000000002</v>
      </c>
      <c r="U133" s="65">
        <f t="shared" si="11"/>
        <v>2.861045683290712</v>
      </c>
    </row>
    <row r="134" spans="1:21" s="62" customFormat="1" ht="15.75">
      <c r="A134" s="64">
        <v>43343</v>
      </c>
      <c r="B134" s="65">
        <v>336041.8</v>
      </c>
      <c r="C134" s="65">
        <v>194598</v>
      </c>
      <c r="D134" s="65">
        <v>10607.6</v>
      </c>
      <c r="E134" s="65">
        <v>2039.8</v>
      </c>
      <c r="F134" s="65">
        <v>17513.1</v>
      </c>
      <c r="G134" s="65">
        <v>15.4</v>
      </c>
      <c r="H134" s="67">
        <v>36540.700000000004</v>
      </c>
      <c r="I134" s="65">
        <f t="shared" si="12"/>
        <v>597356.4</v>
      </c>
      <c r="J134" s="73">
        <v>-171826.4</v>
      </c>
      <c r="K134" s="65">
        <v>399286.8</v>
      </c>
      <c r="L134" s="69">
        <v>310580</v>
      </c>
      <c r="M134" s="69">
        <v>0</v>
      </c>
      <c r="N134" s="65">
        <v>20</v>
      </c>
      <c r="O134" s="70"/>
      <c r="P134" s="65">
        <v>23895.5</v>
      </c>
      <c r="Q134" s="69" t="s">
        <v>4</v>
      </c>
      <c r="R134" s="72">
        <v>35400.499999999985</v>
      </c>
      <c r="S134" s="65">
        <f t="shared" si="10"/>
        <v>597356.4</v>
      </c>
      <c r="T134" s="65">
        <v>1696857.6</v>
      </c>
      <c r="U134" s="65">
        <f t="shared" si="11"/>
        <v>2.840611735305757</v>
      </c>
    </row>
    <row r="135" spans="1:21" s="62" customFormat="1" ht="15.75">
      <c r="A135" s="64">
        <v>43373</v>
      </c>
      <c r="B135" s="65">
        <v>320520.4</v>
      </c>
      <c r="C135" s="65">
        <v>172865.5</v>
      </c>
      <c r="D135" s="65">
        <v>3240.1000000000004</v>
      </c>
      <c r="E135" s="65">
        <v>3001.7</v>
      </c>
      <c r="F135" s="65">
        <v>13529.7</v>
      </c>
      <c r="G135" s="65">
        <v>9</v>
      </c>
      <c r="H135" s="67">
        <v>38548.9</v>
      </c>
      <c r="I135" s="65">
        <f t="shared" si="12"/>
        <v>551715.2999999999</v>
      </c>
      <c r="J135" s="73">
        <v>-185086.7</v>
      </c>
      <c r="K135" s="65">
        <v>394238</v>
      </c>
      <c r="L135" s="69">
        <v>282430</v>
      </c>
      <c r="M135" s="69">
        <v>0</v>
      </c>
      <c r="N135" s="65">
        <v>20</v>
      </c>
      <c r="O135" s="70"/>
      <c r="P135" s="65">
        <v>24794.000000000004</v>
      </c>
      <c r="Q135" s="69" t="s">
        <v>4</v>
      </c>
      <c r="R135" s="72">
        <v>35320</v>
      </c>
      <c r="S135" s="65">
        <f aca="true" t="shared" si="13" ref="S135:S186">SUM(J135:R135)</f>
        <v>551715.3</v>
      </c>
      <c r="T135" s="65">
        <v>1688923.0999999999</v>
      </c>
      <c r="U135" s="65">
        <f aca="true" t="shared" si="14" ref="U135:U149">T135/I135</f>
        <v>3.061222155702407</v>
      </c>
    </row>
    <row r="136" spans="1:21" s="62" customFormat="1" ht="15.75">
      <c r="A136" s="64">
        <v>43404</v>
      </c>
      <c r="B136" s="65">
        <v>324820.2</v>
      </c>
      <c r="C136" s="65">
        <v>181787.3</v>
      </c>
      <c r="D136" s="65">
        <v>13842.9</v>
      </c>
      <c r="E136" s="65">
        <v>4248.400000000001</v>
      </c>
      <c r="F136" s="65">
        <v>15457.400000000001</v>
      </c>
      <c r="G136" s="65">
        <v>12.8</v>
      </c>
      <c r="H136" s="67">
        <v>29539.699999999997</v>
      </c>
      <c r="I136" s="65">
        <f t="shared" si="12"/>
        <v>569708.7000000001</v>
      </c>
      <c r="J136" s="73">
        <v>-167112.20000000004</v>
      </c>
      <c r="K136" s="65">
        <v>396852.5999999999</v>
      </c>
      <c r="L136" s="69">
        <v>292050</v>
      </c>
      <c r="M136" s="69">
        <v>0</v>
      </c>
      <c r="N136" s="65">
        <v>20</v>
      </c>
      <c r="O136" s="70"/>
      <c r="P136" s="65">
        <v>24642.200000000004</v>
      </c>
      <c r="Q136" s="69" t="s">
        <v>4</v>
      </c>
      <c r="R136" s="72">
        <v>23256.100000000006</v>
      </c>
      <c r="S136" s="65">
        <f t="shared" si="13"/>
        <v>569708.6999999998</v>
      </c>
      <c r="T136" s="65">
        <v>1738754.2999999998</v>
      </c>
      <c r="U136" s="65">
        <f t="shared" si="14"/>
        <v>3.0520058759853934</v>
      </c>
    </row>
    <row r="137" spans="1:21" s="62" customFormat="1" ht="15.75">
      <c r="A137" s="64">
        <v>43434</v>
      </c>
      <c r="B137" s="65">
        <v>318296.9</v>
      </c>
      <c r="C137" s="65">
        <v>157822.2</v>
      </c>
      <c r="D137" s="65">
        <v>10485.7</v>
      </c>
      <c r="E137" s="65">
        <v>2768.6</v>
      </c>
      <c r="F137" s="65">
        <v>12225.800000000001</v>
      </c>
      <c r="G137" s="65">
        <v>4.7</v>
      </c>
      <c r="H137" s="67">
        <v>33594.4</v>
      </c>
      <c r="I137" s="65">
        <f t="shared" si="12"/>
        <v>535198.2999999999</v>
      </c>
      <c r="J137" s="73">
        <v>-156463.60000000003</v>
      </c>
      <c r="K137" s="65">
        <v>420989.8</v>
      </c>
      <c r="L137" s="69">
        <v>235400</v>
      </c>
      <c r="M137" s="69">
        <v>0</v>
      </c>
      <c r="N137" s="65">
        <v>20</v>
      </c>
      <c r="O137" s="70"/>
      <c r="P137" s="65">
        <v>24363.4</v>
      </c>
      <c r="Q137" s="69" t="s">
        <v>4</v>
      </c>
      <c r="R137" s="72">
        <v>10888.700000000004</v>
      </c>
      <c r="S137" s="65">
        <f t="shared" si="13"/>
        <v>535198.2999999999</v>
      </c>
      <c r="T137" s="65">
        <v>1756673.7</v>
      </c>
      <c r="U137" s="65">
        <f t="shared" si="14"/>
        <v>3.282285650010473</v>
      </c>
    </row>
    <row r="138" spans="1:21" s="62" customFormat="1" ht="15.75">
      <c r="A138" s="64">
        <v>43465</v>
      </c>
      <c r="B138" s="65">
        <v>350207.6</v>
      </c>
      <c r="C138" s="65">
        <v>166378.19999999998</v>
      </c>
      <c r="D138" s="65">
        <v>4497.5</v>
      </c>
      <c r="E138" s="65">
        <v>3538.7999999999997</v>
      </c>
      <c r="F138" s="65">
        <v>9097.099999999999</v>
      </c>
      <c r="G138" s="65">
        <v>17.8</v>
      </c>
      <c r="H138" s="67">
        <v>31091.8</v>
      </c>
      <c r="I138" s="65">
        <f t="shared" si="12"/>
        <v>564828.8</v>
      </c>
      <c r="J138" s="73">
        <v>-165217.1</v>
      </c>
      <c r="K138" s="65">
        <v>441299.1</v>
      </c>
      <c r="L138" s="69">
        <v>248180</v>
      </c>
      <c r="M138" s="69">
        <v>0</v>
      </c>
      <c r="N138" s="65">
        <v>20</v>
      </c>
      <c r="O138" s="70"/>
      <c r="P138" s="65">
        <v>24119.000000000004</v>
      </c>
      <c r="Q138" s="69" t="s">
        <v>4</v>
      </c>
      <c r="R138" s="72">
        <v>16427.800000000032</v>
      </c>
      <c r="S138" s="65">
        <f t="shared" si="13"/>
        <v>564828.8</v>
      </c>
      <c r="T138" s="65">
        <v>1797468.9000000001</v>
      </c>
      <c r="U138" s="65">
        <f t="shared" si="14"/>
        <v>3.182325157640687</v>
      </c>
    </row>
    <row r="139" spans="1:21" s="62" customFormat="1" ht="15.75">
      <c r="A139" s="64">
        <v>43466</v>
      </c>
      <c r="B139" s="65">
        <v>325405.6</v>
      </c>
      <c r="C139" s="65">
        <v>144516.9</v>
      </c>
      <c r="D139" s="65">
        <v>4960.2</v>
      </c>
      <c r="E139" s="65">
        <v>3554.2</v>
      </c>
      <c r="F139" s="65">
        <v>6911.1</v>
      </c>
      <c r="G139" s="65">
        <v>5.8</v>
      </c>
      <c r="H139" s="67">
        <v>33325.7</v>
      </c>
      <c r="I139" s="65">
        <f t="shared" si="12"/>
        <v>518679.5</v>
      </c>
      <c r="J139" s="73">
        <v>-182568.59999999998</v>
      </c>
      <c r="K139" s="65">
        <v>378404</v>
      </c>
      <c r="L139" s="69">
        <v>262187.4</v>
      </c>
      <c r="M139" s="69">
        <v>0</v>
      </c>
      <c r="N139" s="65">
        <v>20</v>
      </c>
      <c r="O139" s="70"/>
      <c r="P139" s="65">
        <v>24303.4</v>
      </c>
      <c r="Q139" s="69" t="s">
        <v>4</v>
      </c>
      <c r="R139" s="72">
        <v>36333.30000000002</v>
      </c>
      <c r="S139" s="65">
        <f t="shared" si="13"/>
        <v>518679.5000000001</v>
      </c>
      <c r="T139" s="65">
        <v>1832440.933333333</v>
      </c>
      <c r="U139" s="65">
        <f t="shared" si="14"/>
        <v>3.5328963904170747</v>
      </c>
    </row>
    <row r="140" spans="1:21" s="62" customFormat="1" ht="15.75">
      <c r="A140" s="64">
        <v>43524</v>
      </c>
      <c r="B140" s="65">
        <v>333463.4</v>
      </c>
      <c r="C140" s="65">
        <v>192665</v>
      </c>
      <c r="D140" s="65">
        <v>8047.7</v>
      </c>
      <c r="E140" s="65">
        <v>1932.3999999999999</v>
      </c>
      <c r="F140" s="65">
        <v>11183.800000000001</v>
      </c>
      <c r="G140" s="65">
        <v>7.7</v>
      </c>
      <c r="H140" s="67">
        <v>38737.1</v>
      </c>
      <c r="I140" s="65">
        <f t="shared" si="12"/>
        <v>586037.0999999999</v>
      </c>
      <c r="J140" s="73">
        <v>-148014.80000000002</v>
      </c>
      <c r="K140" s="65">
        <v>398819.8</v>
      </c>
      <c r="L140" s="69">
        <v>267170</v>
      </c>
      <c r="M140" s="69">
        <v>0</v>
      </c>
      <c r="N140" s="65">
        <v>20</v>
      </c>
      <c r="O140" s="70"/>
      <c r="P140" s="65">
        <v>24135.600000000002</v>
      </c>
      <c r="Q140" s="69" t="s">
        <v>4</v>
      </c>
      <c r="R140" s="72">
        <v>43906.50000000006</v>
      </c>
      <c r="S140" s="65">
        <f t="shared" si="13"/>
        <v>586037.1000000001</v>
      </c>
      <c r="T140" s="65">
        <v>1852634.4666666663</v>
      </c>
      <c r="U140" s="65">
        <f t="shared" si="14"/>
        <v>3.1612921206979334</v>
      </c>
    </row>
    <row r="141" spans="1:21" s="62" customFormat="1" ht="15.75">
      <c r="A141" s="64">
        <v>43555</v>
      </c>
      <c r="B141" s="65">
        <v>329231.6</v>
      </c>
      <c r="C141" s="65">
        <v>207823.9</v>
      </c>
      <c r="D141" s="65">
        <v>17499.7</v>
      </c>
      <c r="E141" s="65">
        <v>1904.8</v>
      </c>
      <c r="F141" s="65">
        <v>12489.6</v>
      </c>
      <c r="G141" s="65">
        <v>62.3</v>
      </c>
      <c r="H141" s="67">
        <f>2626.8+35338.9</f>
        <v>37965.700000000004</v>
      </c>
      <c r="I141" s="65">
        <f t="shared" si="12"/>
        <v>606977.6</v>
      </c>
      <c r="J141" s="73">
        <f>130884.5-298865.3+1198.4</f>
        <v>-166782.4</v>
      </c>
      <c r="K141" s="65">
        <f>776260.3-358269.2</f>
        <v>417991.10000000003</v>
      </c>
      <c r="L141" s="69">
        <v>287000</v>
      </c>
      <c r="M141" s="69">
        <v>0</v>
      </c>
      <c r="N141" s="65">
        <v>20</v>
      </c>
      <c r="O141" s="70"/>
      <c r="P141" s="65">
        <v>23853.8</v>
      </c>
      <c r="Q141" s="69" t="s">
        <v>4</v>
      </c>
      <c r="R141" s="72">
        <f>157.9+887.8+200172.4-1198.4-34809.4-1728.6-126372.4+7785.8</f>
        <v>44895.10000000002</v>
      </c>
      <c r="S141" s="65">
        <f t="shared" si="13"/>
        <v>606977.6000000001</v>
      </c>
      <c r="T141" s="65">
        <v>1885235.1999999997</v>
      </c>
      <c r="U141" s="65">
        <f t="shared" si="14"/>
        <v>3.105938670553905</v>
      </c>
    </row>
    <row r="142" spans="1:21" s="62" customFormat="1" ht="15.75">
      <c r="A142" s="64">
        <v>43585</v>
      </c>
      <c r="B142" s="65">
        <v>334917.5</v>
      </c>
      <c r="C142" s="65">
        <v>210707.7</v>
      </c>
      <c r="D142" s="65">
        <v>6395.6</v>
      </c>
      <c r="E142" s="65">
        <v>1385.2</v>
      </c>
      <c r="F142" s="65">
        <v>9897.6</v>
      </c>
      <c r="G142" s="65">
        <v>18.3</v>
      </c>
      <c r="H142" s="67">
        <f>1946.4+30494.7</f>
        <v>32441.100000000002</v>
      </c>
      <c r="I142" s="65">
        <f t="shared" si="12"/>
        <v>595763</v>
      </c>
      <c r="J142" s="73">
        <f>138599.7-298492+21.5</f>
        <v>-159870.8</v>
      </c>
      <c r="K142" s="65">
        <f>749554.5-367204.6</f>
        <v>382349.9</v>
      </c>
      <c r="L142" s="69">
        <v>295000</v>
      </c>
      <c r="M142" s="69">
        <v>0</v>
      </c>
      <c r="N142" s="65">
        <v>20</v>
      </c>
      <c r="O142" s="70"/>
      <c r="P142" s="65">
        <v>23743.1</v>
      </c>
      <c r="Q142" s="69" t="s">
        <v>4</v>
      </c>
      <c r="R142" s="72">
        <f>157.9+887.8+188612.9-21.5-38792.1-1917.5-125881.4+31474.7</f>
        <v>54520.8</v>
      </c>
      <c r="S142" s="65">
        <f t="shared" si="13"/>
        <v>595763.0000000001</v>
      </c>
      <c r="T142" s="65">
        <v>1901027.7666666668</v>
      </c>
      <c r="U142" s="65">
        <f t="shared" si="14"/>
        <v>3.190912773479835</v>
      </c>
    </row>
    <row r="143" spans="1:21" s="62" customFormat="1" ht="15.75">
      <c r="A143" s="64">
        <v>43616</v>
      </c>
      <c r="B143" s="65">
        <v>364833</v>
      </c>
      <c r="C143" s="65">
        <v>171541.6</v>
      </c>
      <c r="D143" s="65">
        <v>12518.3</v>
      </c>
      <c r="E143" s="65">
        <v>2077.9</v>
      </c>
      <c r="F143" s="65">
        <v>11138.6</v>
      </c>
      <c r="G143" s="65">
        <v>9.2</v>
      </c>
      <c r="H143" s="67">
        <f>2132.3+29888.3</f>
        <v>32020.6</v>
      </c>
      <c r="I143" s="65">
        <f t="shared" si="12"/>
        <v>594139.2</v>
      </c>
      <c r="J143" s="73">
        <f>179122.8+9230.6-322255.6</f>
        <v>-133902.19999999998</v>
      </c>
      <c r="K143" s="65">
        <f>741946.8-409694.1</f>
        <v>332252.70000000007</v>
      </c>
      <c r="L143" s="69">
        <v>320000</v>
      </c>
      <c r="M143" s="69">
        <v>0</v>
      </c>
      <c r="N143" s="65">
        <v>20</v>
      </c>
      <c r="O143" s="70"/>
      <c r="P143" s="65">
        <v>23666.1</v>
      </c>
      <c r="Q143" s="69" t="s">
        <v>4</v>
      </c>
      <c r="R143" s="72">
        <f>157.9+887.8+203802.7-9230.6-35398.6-2013.7-133914+27811.1</f>
        <v>52102.6</v>
      </c>
      <c r="S143" s="65">
        <f t="shared" si="13"/>
        <v>594139.2000000001</v>
      </c>
      <c r="T143" s="65">
        <v>1954704.6333333338</v>
      </c>
      <c r="U143" s="65">
        <f t="shared" si="14"/>
        <v>3.2899775563257463</v>
      </c>
    </row>
    <row r="144" spans="1:21" s="62" customFormat="1" ht="15.75">
      <c r="A144" s="64">
        <v>43646</v>
      </c>
      <c r="B144" s="65">
        <v>383003.4</v>
      </c>
      <c r="C144" s="65">
        <v>217133.9</v>
      </c>
      <c r="D144" s="65">
        <v>8594.1</v>
      </c>
      <c r="E144" s="65">
        <v>3359.1</v>
      </c>
      <c r="F144" s="65">
        <v>8879.6</v>
      </c>
      <c r="G144" s="65">
        <v>27.9</v>
      </c>
      <c r="H144" s="67">
        <f>2131.1+34831.4</f>
        <v>36962.5</v>
      </c>
      <c r="I144" s="65">
        <f t="shared" si="12"/>
        <v>657960.5</v>
      </c>
      <c r="J144" s="73">
        <f>170121.6+7031.5-298866.2</f>
        <v>-121713.1</v>
      </c>
      <c r="K144" s="65">
        <f>762094-384896.3</f>
        <v>377197.7</v>
      </c>
      <c r="L144" s="69">
        <v>335077.8</v>
      </c>
      <c r="M144" s="69">
        <v>0</v>
      </c>
      <c r="N144" s="65">
        <v>20</v>
      </c>
      <c r="O144" s="70"/>
      <c r="P144" s="65">
        <v>23502.4</v>
      </c>
      <c r="Q144" s="69" t="s">
        <v>4</v>
      </c>
      <c r="R144" s="72">
        <f>157.9+887.8+181402.6-7031.5-38420.7-3955.7-140899.6+51734.9</f>
        <v>43875.70000000002</v>
      </c>
      <c r="S144" s="65">
        <f t="shared" si="13"/>
        <v>657960.5000000001</v>
      </c>
      <c r="T144" s="65">
        <v>2029488.7000000002</v>
      </c>
      <c r="U144" s="65">
        <f t="shared" si="14"/>
        <v>3.084514495930987</v>
      </c>
    </row>
    <row r="145" spans="1:21" s="62" customFormat="1" ht="15.75">
      <c r="A145" s="64">
        <v>43677</v>
      </c>
      <c r="B145" s="65">
        <v>385750.3</v>
      </c>
      <c r="C145" s="65">
        <v>188125.9</v>
      </c>
      <c r="D145" s="65">
        <v>13794.1</v>
      </c>
      <c r="E145" s="65">
        <v>4702.4</v>
      </c>
      <c r="F145" s="65">
        <v>10772.3</v>
      </c>
      <c r="G145" s="65">
        <v>13.3</v>
      </c>
      <c r="H145" s="67">
        <v>37615.799999999996</v>
      </c>
      <c r="I145" s="65">
        <f t="shared" si="12"/>
        <v>640774.1</v>
      </c>
      <c r="J145" s="73">
        <v>-133765.9</v>
      </c>
      <c r="K145" s="65">
        <f>702399.9-373260.6</f>
        <v>329139.30000000005</v>
      </c>
      <c r="L145" s="69">
        <v>349550</v>
      </c>
      <c r="M145" s="69">
        <v>0</v>
      </c>
      <c r="N145" s="65">
        <v>20</v>
      </c>
      <c r="O145" s="70"/>
      <c r="P145" s="65">
        <v>24115.9</v>
      </c>
      <c r="Q145" s="69" t="s">
        <v>4</v>
      </c>
      <c r="R145" s="72">
        <f>157.9+887.8+198464.8-7031.5-34291.8-1905.5-139394.3+54827.4</f>
        <v>71714.80000000002</v>
      </c>
      <c r="S145" s="65">
        <f t="shared" si="13"/>
        <v>640774.1000000001</v>
      </c>
      <c r="T145" s="65">
        <v>2042048.3333333335</v>
      </c>
      <c r="U145" s="65">
        <f t="shared" si="14"/>
        <v>3.186845931090744</v>
      </c>
    </row>
    <row r="146" spans="1:21" s="62" customFormat="1" ht="15.75">
      <c r="A146" s="64">
        <v>43708</v>
      </c>
      <c r="B146" s="65">
        <v>383858.4</v>
      </c>
      <c r="C146" s="65">
        <v>185993</v>
      </c>
      <c r="D146" s="65">
        <v>6053.599999999999</v>
      </c>
      <c r="E146" s="65">
        <v>2716.1</v>
      </c>
      <c r="F146" s="65">
        <v>10733.5</v>
      </c>
      <c r="G146" s="65">
        <v>11.7</v>
      </c>
      <c r="H146" s="67">
        <f>1785.7+33416.8</f>
        <v>35202.5</v>
      </c>
      <c r="I146" s="65">
        <f t="shared" si="12"/>
        <v>624568.7999999999</v>
      </c>
      <c r="J146" s="73">
        <f>136933.3+7031.5-295856.6</f>
        <v>-151891.8</v>
      </c>
      <c r="K146" s="65">
        <f>759491.5-460553.5</f>
        <v>298938</v>
      </c>
      <c r="L146" s="69">
        <v>347667.4</v>
      </c>
      <c r="M146" s="69">
        <v>0</v>
      </c>
      <c r="N146" s="65">
        <v>20</v>
      </c>
      <c r="O146" s="70"/>
      <c r="P146" s="65">
        <v>23879.3</v>
      </c>
      <c r="Q146" s="69" t="s">
        <v>4</v>
      </c>
      <c r="R146" s="72">
        <f>157.9+887.8+235411-7031.5-29774.4-1868.3-139315.9+47489.3</f>
        <v>105955.90000000004</v>
      </c>
      <c r="S146" s="65">
        <f t="shared" si="13"/>
        <v>624568.8</v>
      </c>
      <c r="T146" s="65">
        <v>2075832.066666667</v>
      </c>
      <c r="U146" s="65">
        <f t="shared" si="14"/>
        <v>3.323624341572405</v>
      </c>
    </row>
    <row r="147" spans="1:21" s="62" customFormat="1" ht="15.75">
      <c r="A147" s="64">
        <v>43738</v>
      </c>
      <c r="B147" s="65">
        <v>373777.4</v>
      </c>
      <c r="C147" s="65">
        <v>200245.8</v>
      </c>
      <c r="D147" s="65">
        <v>13233.099999999999</v>
      </c>
      <c r="E147" s="65">
        <v>3326.6</v>
      </c>
      <c r="F147" s="65">
        <v>12715.200000000003</v>
      </c>
      <c r="G147" s="65">
        <v>1.4</v>
      </c>
      <c r="H147" s="67">
        <f>2563.7+38573.2</f>
        <v>41136.899999999994</v>
      </c>
      <c r="I147" s="65">
        <f t="shared" si="12"/>
        <v>644436.4</v>
      </c>
      <c r="J147" s="73">
        <f>145197.8+7031.5-295964.1</f>
        <v>-143734.8</v>
      </c>
      <c r="K147" s="65">
        <f>756889.1-465555.2</f>
        <v>291333.89999999997</v>
      </c>
      <c r="L147" s="69">
        <v>399460.9</v>
      </c>
      <c r="M147" s="69">
        <v>0</v>
      </c>
      <c r="N147" s="65">
        <v>20</v>
      </c>
      <c r="O147" s="70"/>
      <c r="P147" s="65">
        <v>24409.9</v>
      </c>
      <c r="Q147" s="69" t="s">
        <v>4</v>
      </c>
      <c r="R147" s="72">
        <f>157.9+887.8+210464.2-7031.5-29487.1-1894.5-146196.7+46046.4</f>
        <v>72946.5</v>
      </c>
      <c r="S147" s="65">
        <f t="shared" si="13"/>
        <v>644436.4</v>
      </c>
      <c r="T147" s="65">
        <v>2074809.1</v>
      </c>
      <c r="U147" s="65">
        <f t="shared" si="14"/>
        <v>3.2195715512035012</v>
      </c>
    </row>
    <row r="148" spans="1:21" s="62" customFormat="1" ht="15.75">
      <c r="A148" s="64">
        <v>43769</v>
      </c>
      <c r="B148" s="65">
        <v>380035.6</v>
      </c>
      <c r="C148" s="65">
        <v>154206.6</v>
      </c>
      <c r="D148" s="65">
        <v>21572.2</v>
      </c>
      <c r="E148" s="65">
        <v>4186.6</v>
      </c>
      <c r="F148" s="65">
        <v>13451.7</v>
      </c>
      <c r="G148" s="65">
        <v>1.8</v>
      </c>
      <c r="H148" s="67">
        <f>1909.6+37713</f>
        <v>39622.6</v>
      </c>
      <c r="I148" s="65">
        <f t="shared" si="12"/>
        <v>613077.1</v>
      </c>
      <c r="J148" s="73">
        <f>133444.6+5935-293793.8</f>
        <v>-154414.19999999998</v>
      </c>
      <c r="K148" s="65">
        <f>751684.2-499593.6</f>
        <v>252090.59999999998</v>
      </c>
      <c r="L148" s="69">
        <v>407267.4</v>
      </c>
      <c r="M148" s="69">
        <v>0</v>
      </c>
      <c r="N148" s="65">
        <v>20</v>
      </c>
      <c r="O148" s="70"/>
      <c r="P148" s="65">
        <v>24842.7</v>
      </c>
      <c r="Q148" s="69" t="s">
        <v>4</v>
      </c>
      <c r="R148" s="72">
        <f>157.9+887.8+190694.5-5935-25297.1-2098.7-133864.6+58725.8</f>
        <v>83270.59999999999</v>
      </c>
      <c r="S148" s="65">
        <f t="shared" si="13"/>
        <v>613077.1</v>
      </c>
      <c r="T148" s="65">
        <v>2078463.4000000001</v>
      </c>
      <c r="U148" s="65">
        <f t="shared" si="14"/>
        <v>3.3902153579052294</v>
      </c>
    </row>
    <row r="149" spans="1:21" s="62" customFormat="1" ht="15.75">
      <c r="A149" s="64">
        <v>43799</v>
      </c>
      <c r="B149" s="65">
        <v>382648.3</v>
      </c>
      <c r="C149" s="65">
        <v>171379.8</v>
      </c>
      <c r="D149" s="65">
        <v>15201.2</v>
      </c>
      <c r="E149" s="65">
        <v>2826.1</v>
      </c>
      <c r="F149" s="65">
        <v>12715.3</v>
      </c>
      <c r="G149" s="65">
        <v>2.5</v>
      </c>
      <c r="H149" s="67">
        <f>2438+44646.8</f>
        <v>47084.8</v>
      </c>
      <c r="I149" s="65">
        <f t="shared" si="12"/>
        <v>631858</v>
      </c>
      <c r="J149" s="73">
        <f>120957.2+5935-290211.4</f>
        <v>-163319.2</v>
      </c>
      <c r="K149" s="65">
        <f>749081.8-478720.8</f>
        <v>270361.00000000006</v>
      </c>
      <c r="L149" s="69">
        <v>406550</v>
      </c>
      <c r="M149" s="69">
        <v>0</v>
      </c>
      <c r="N149" s="65">
        <v>20</v>
      </c>
      <c r="O149" s="70"/>
      <c r="P149" s="65">
        <v>24881.100000000002</v>
      </c>
      <c r="Q149" s="69" t="s">
        <v>4</v>
      </c>
      <c r="R149" s="72">
        <f>157.9+887.8+197156.8-5935-25043.6-2061.7-128369.8+56572.7</f>
        <v>93365.09999999998</v>
      </c>
      <c r="S149" s="65">
        <f t="shared" si="13"/>
        <v>631858</v>
      </c>
      <c r="T149" s="65">
        <v>2110526.8</v>
      </c>
      <c r="U149" s="65">
        <f t="shared" si="14"/>
        <v>3.34019162533354</v>
      </c>
    </row>
    <row r="150" spans="1:21" s="62" customFormat="1" ht="15.75">
      <c r="A150" s="64">
        <v>43830</v>
      </c>
      <c r="B150" s="65">
        <v>414814.9</v>
      </c>
      <c r="C150" s="65">
        <v>208123.19999999998</v>
      </c>
      <c r="D150" s="65">
        <v>22962.1</v>
      </c>
      <c r="E150" s="65">
        <v>4340</v>
      </c>
      <c r="F150" s="65">
        <v>5405</v>
      </c>
      <c r="G150" s="65">
        <v>1.2</v>
      </c>
      <c r="H150" s="67">
        <f>40326.4+2178.8</f>
        <v>42505.200000000004</v>
      </c>
      <c r="I150" s="65">
        <f t="shared" si="12"/>
        <v>698151.6</v>
      </c>
      <c r="J150" s="73">
        <f>235831.3+5935-371157</f>
        <v>-129390.70000000001</v>
      </c>
      <c r="K150" s="65">
        <f>746479.4-421651.4</f>
        <v>324828</v>
      </c>
      <c r="L150" s="69">
        <v>422379.9</v>
      </c>
      <c r="M150" s="69">
        <v>0</v>
      </c>
      <c r="N150" s="65">
        <v>20</v>
      </c>
      <c r="O150" s="70"/>
      <c r="P150" s="65">
        <v>24491.3</v>
      </c>
      <c r="Q150" s="69" t="s">
        <v>4</v>
      </c>
      <c r="R150" s="72">
        <f>199796.9+157.9+887.8-5935-59688.3-3847.6-132146.2+56597.6</f>
        <v>55823.09999999997</v>
      </c>
      <c r="S150" s="65">
        <f t="shared" si="13"/>
        <v>698151.6</v>
      </c>
      <c r="T150" s="65">
        <v>2202818.5999999996</v>
      </c>
      <c r="U150" s="65">
        <f>T150/I150</f>
        <v>3.1552152856199136</v>
      </c>
    </row>
    <row r="151" spans="1:21" s="62" customFormat="1" ht="15.75">
      <c r="A151" s="64">
        <v>43861</v>
      </c>
      <c r="B151" s="65">
        <v>390526.4</v>
      </c>
      <c r="C151" s="65">
        <v>192629.6</v>
      </c>
      <c r="D151" s="65">
        <v>21152.7</v>
      </c>
      <c r="E151" s="65">
        <v>4730.5</v>
      </c>
      <c r="F151" s="65">
        <v>12861.9</v>
      </c>
      <c r="G151" s="65">
        <v>2.6</v>
      </c>
      <c r="H151" s="67">
        <f>3395.7+40023</f>
        <v>43418.7</v>
      </c>
      <c r="I151" s="65">
        <f t="shared" si="12"/>
        <v>665322.4</v>
      </c>
      <c r="J151" s="73">
        <f>188875.3+5935-368291.2</f>
        <v>-173480.90000000002</v>
      </c>
      <c r="K151" s="65">
        <f>746479.3-449268.9</f>
        <v>297210.4</v>
      </c>
      <c r="L151" s="69">
        <v>454094.2</v>
      </c>
      <c r="M151" s="69">
        <v>0</v>
      </c>
      <c r="N151" s="65">
        <v>20</v>
      </c>
      <c r="O151" s="70"/>
      <c r="P151" s="65">
        <v>25396.3</v>
      </c>
      <c r="Q151" s="69" t="s">
        <v>4</v>
      </c>
      <c r="R151" s="72">
        <f>195369.4+157.9+887.8-5935-57649.5-2547.2-127243.6+59042.6</f>
        <v>62082.39999999997</v>
      </c>
      <c r="S151" s="65">
        <f t="shared" si="13"/>
        <v>665322.4</v>
      </c>
      <c r="T151" s="65">
        <v>2196629.466666667</v>
      </c>
      <c r="U151" s="65">
        <f aca="true" t="shared" si="15" ref="U151:U186">T151/I151</f>
        <v>3.301601549364138</v>
      </c>
    </row>
    <row r="152" spans="1:21" s="62" customFormat="1" ht="15.75">
      <c r="A152" s="64">
        <v>43890</v>
      </c>
      <c r="B152" s="65">
        <v>389144.7</v>
      </c>
      <c r="C152" s="65">
        <v>241583.1</v>
      </c>
      <c r="D152" s="65">
        <v>21949.6</v>
      </c>
      <c r="E152" s="65">
        <v>5289.900000000001</v>
      </c>
      <c r="F152" s="65">
        <v>14116.3</v>
      </c>
      <c r="G152" s="65">
        <v>9.1</v>
      </c>
      <c r="H152" s="67">
        <f>4892.1+39639.3</f>
        <v>44531.4</v>
      </c>
      <c r="I152" s="65">
        <f t="shared" si="12"/>
        <v>716624.1</v>
      </c>
      <c r="J152" s="73">
        <f>225960.4+5935-363145.9</f>
        <v>-131250.50000000003</v>
      </c>
      <c r="K152" s="65">
        <f>743876.9-457283.3</f>
        <v>286593.60000000003</v>
      </c>
      <c r="L152" s="69">
        <v>466455.89999999997</v>
      </c>
      <c r="M152" s="69">
        <v>0</v>
      </c>
      <c r="N152" s="65">
        <v>20</v>
      </c>
      <c r="O152" s="70"/>
      <c r="P152" s="65">
        <v>25276.000000000004</v>
      </c>
      <c r="Q152" s="69" t="s">
        <v>4</v>
      </c>
      <c r="R152" s="72">
        <f>207489.5+157.9+887.8-5935-58145.6-2403.6-128297+55775.1</f>
        <v>69529.09999999998</v>
      </c>
      <c r="S152" s="65">
        <f t="shared" si="13"/>
        <v>716624.1</v>
      </c>
      <c r="T152" s="65">
        <v>2231473.7333333334</v>
      </c>
      <c r="U152" s="65">
        <f t="shared" si="15"/>
        <v>3.113869228418823</v>
      </c>
    </row>
    <row r="153" spans="1:21" s="62" customFormat="1" ht="15.75">
      <c r="A153" s="64">
        <v>43921</v>
      </c>
      <c r="B153" s="65">
        <v>386208.7</v>
      </c>
      <c r="C153" s="65">
        <v>177910.2</v>
      </c>
      <c r="D153" s="65">
        <v>21319.5</v>
      </c>
      <c r="E153" s="65">
        <v>5434.3</v>
      </c>
      <c r="F153" s="65">
        <v>13715.3</v>
      </c>
      <c r="G153" s="65">
        <v>31.4</v>
      </c>
      <c r="H153" s="67">
        <f>2283.6+37067.4</f>
        <v>39351</v>
      </c>
      <c r="I153" s="65">
        <f t="shared" si="12"/>
        <v>643970.4</v>
      </c>
      <c r="J153" s="73">
        <f>188354.3+5935-361308.8</f>
        <v>-167019.5</v>
      </c>
      <c r="K153" s="65">
        <f>738672-448559.6</f>
        <v>290112.4</v>
      </c>
      <c r="L153" s="69">
        <v>420106.2</v>
      </c>
      <c r="M153" s="69">
        <v>0</v>
      </c>
      <c r="N153" s="65">
        <v>20</v>
      </c>
      <c r="O153" s="70"/>
      <c r="P153" s="65">
        <v>25180.8</v>
      </c>
      <c r="Q153" s="69" t="s">
        <v>4</v>
      </c>
      <c r="R153" s="72">
        <f>215607.8+157.9+887.8-5935-58131.8-2423-128005.9+53412.7</f>
        <v>75570.49999999996</v>
      </c>
      <c r="S153" s="65">
        <f t="shared" si="13"/>
        <v>643970.4000000001</v>
      </c>
      <c r="T153" s="65">
        <v>2212757</v>
      </c>
      <c r="U153" s="65">
        <f t="shared" si="15"/>
        <v>3.436116007816508</v>
      </c>
    </row>
    <row r="154" spans="1:21" s="62" customFormat="1" ht="15.75">
      <c r="A154" s="64">
        <v>43951</v>
      </c>
      <c r="B154" s="65">
        <v>393636.4</v>
      </c>
      <c r="C154" s="65">
        <v>211293</v>
      </c>
      <c r="D154" s="65">
        <v>15286.699999999999</v>
      </c>
      <c r="E154" s="65">
        <v>3950</v>
      </c>
      <c r="F154" s="65">
        <v>8920.5</v>
      </c>
      <c r="G154" s="65">
        <v>8.4</v>
      </c>
      <c r="H154" s="67">
        <f>2199.6+36939.3</f>
        <v>39138.9</v>
      </c>
      <c r="I154" s="65">
        <f t="shared" si="12"/>
        <v>672233.9</v>
      </c>
      <c r="J154" s="73">
        <f>176635.8+5935-361783</f>
        <v>-179212.2</v>
      </c>
      <c r="K154" s="65">
        <f>736069.6-433857.9</f>
        <v>302211.69999999995</v>
      </c>
      <c r="L154" s="69">
        <v>432986.3</v>
      </c>
      <c r="M154" s="69">
        <v>0</v>
      </c>
      <c r="N154" s="65">
        <v>20</v>
      </c>
      <c r="O154" s="70"/>
      <c r="P154" s="65">
        <v>25898.7</v>
      </c>
      <c r="Q154" s="69" t="s">
        <v>4</v>
      </c>
      <c r="R154" s="72">
        <f>225055.7+157.9+887.8-5935-53990.1-2378.5-126835.3+53366.9</f>
        <v>90329.4</v>
      </c>
      <c r="S154" s="65">
        <f t="shared" si="13"/>
        <v>672233.8999999999</v>
      </c>
      <c r="T154" s="65">
        <v>2256936.566666667</v>
      </c>
      <c r="U154" s="65">
        <f t="shared" si="15"/>
        <v>3.357367973657185</v>
      </c>
    </row>
    <row r="155" spans="1:21" s="62" customFormat="1" ht="15.75">
      <c r="A155" s="64">
        <v>43982</v>
      </c>
      <c r="B155" s="65">
        <v>406383</v>
      </c>
      <c r="C155" s="65">
        <v>210075</v>
      </c>
      <c r="D155" s="65">
        <v>5623.6</v>
      </c>
      <c r="E155" s="65">
        <v>4591.1</v>
      </c>
      <c r="F155" s="65">
        <v>10872.8</v>
      </c>
      <c r="G155" s="65">
        <v>8.4</v>
      </c>
      <c r="H155" s="67">
        <f>2496+33849.3</f>
        <v>36345.3</v>
      </c>
      <c r="I155" s="65">
        <f t="shared" si="12"/>
        <v>673899.2</v>
      </c>
      <c r="J155" s="73">
        <f>167276.7+4763.1-357937.1</f>
        <v>-185897.29999999996</v>
      </c>
      <c r="K155" s="65">
        <f>737921.8-445475.5</f>
        <v>292446.30000000005</v>
      </c>
      <c r="L155" s="69">
        <v>435106.2</v>
      </c>
      <c r="M155" s="69">
        <v>0</v>
      </c>
      <c r="N155" s="65">
        <v>20</v>
      </c>
      <c r="O155" s="70"/>
      <c r="P155" s="65">
        <v>26145.3</v>
      </c>
      <c r="Q155" s="69" t="s">
        <v>4</v>
      </c>
      <c r="R155" s="72">
        <f>237158.4+157.9+887.8-4763.1-50618.3-2513.2-127514.8+53284</f>
        <v>106078.69999999994</v>
      </c>
      <c r="S155" s="65">
        <f t="shared" si="13"/>
        <v>673899.2000000001</v>
      </c>
      <c r="T155" s="65">
        <v>2266854.8333333335</v>
      </c>
      <c r="U155" s="65">
        <f t="shared" si="15"/>
        <v>3.3637891740090113</v>
      </c>
    </row>
    <row r="156" spans="1:21" s="62" customFormat="1" ht="15.75">
      <c r="A156" s="64">
        <v>44012</v>
      </c>
      <c r="B156" s="65">
        <v>434272.9</v>
      </c>
      <c r="C156" s="65">
        <v>203225.4</v>
      </c>
      <c r="D156" s="65">
        <v>10577.3</v>
      </c>
      <c r="E156" s="65">
        <v>3411.8</v>
      </c>
      <c r="F156" s="65">
        <v>9558.399999999998</v>
      </c>
      <c r="G156" s="65">
        <v>3.5</v>
      </c>
      <c r="H156" s="67">
        <f>3006.1+39875.7</f>
        <v>42881.799999999996</v>
      </c>
      <c r="I156" s="65">
        <f t="shared" si="12"/>
        <v>703931.1000000001</v>
      </c>
      <c r="J156" s="73">
        <f>167975.9+4763.1-357357.6</f>
        <v>-184618.59999999998</v>
      </c>
      <c r="K156" s="65">
        <f>736222.2-432881.7</f>
        <v>303340.49999999994</v>
      </c>
      <c r="L156" s="69">
        <v>421436.2</v>
      </c>
      <c r="M156" s="69">
        <v>0</v>
      </c>
      <c r="N156" s="65">
        <v>20</v>
      </c>
      <c r="O156" s="70"/>
      <c r="P156" s="65">
        <v>26117.6</v>
      </c>
      <c r="Q156" s="69" t="s">
        <v>4</v>
      </c>
      <c r="R156" s="72">
        <f>281819.7+157.9+887.8-4763.1-55808.9-2715.5-130627.9+48685.4</f>
        <v>137635.40000000005</v>
      </c>
      <c r="S156" s="65">
        <f t="shared" si="13"/>
        <v>703931.1</v>
      </c>
      <c r="T156" s="65">
        <v>2401552.5</v>
      </c>
      <c r="U156" s="65">
        <f t="shared" si="15"/>
        <v>3.4116300586804584</v>
      </c>
    </row>
    <row r="157" spans="1:21" s="62" customFormat="1" ht="15.75">
      <c r="A157" s="64">
        <v>44043</v>
      </c>
      <c r="B157" s="65">
        <v>448052.1</v>
      </c>
      <c r="C157" s="65">
        <v>153064.7</v>
      </c>
      <c r="D157" s="65">
        <v>17158.5</v>
      </c>
      <c r="E157" s="65">
        <v>3460.5999999999995</v>
      </c>
      <c r="F157" s="65">
        <v>9372.899999999998</v>
      </c>
      <c r="G157" s="65">
        <v>2</v>
      </c>
      <c r="H157" s="67">
        <f>3356.2+45288</f>
        <v>48644.2</v>
      </c>
      <c r="I157" s="65">
        <f t="shared" si="12"/>
        <v>679755</v>
      </c>
      <c r="J157" s="73">
        <f>196289.2+4763.1-350960.9</f>
        <v>-149908.6</v>
      </c>
      <c r="K157" s="65">
        <f>737624.5-468381.4</f>
        <v>269243.1</v>
      </c>
      <c r="L157" s="69">
        <v>410156.2</v>
      </c>
      <c r="M157" s="69">
        <v>0</v>
      </c>
      <c r="N157" s="65">
        <v>20</v>
      </c>
      <c r="O157" s="70"/>
      <c r="P157" s="65">
        <v>26638.600000000002</v>
      </c>
      <c r="Q157" s="69" t="s">
        <v>4</v>
      </c>
      <c r="R157" s="72">
        <f>278348.4+157.9+887.8-4763.1-56940-2494.3-143632.8+52041.8</f>
        <v>123605.70000000008</v>
      </c>
      <c r="S157" s="65">
        <f t="shared" si="13"/>
        <v>679755</v>
      </c>
      <c r="T157" s="65">
        <v>2446474.933333333</v>
      </c>
      <c r="U157" s="65">
        <f t="shared" si="15"/>
        <v>3.5990539728774826</v>
      </c>
    </row>
    <row r="158" spans="1:21" s="62" customFormat="1" ht="15.75">
      <c r="A158" s="64">
        <v>44074</v>
      </c>
      <c r="B158" s="65">
        <v>463338.8</v>
      </c>
      <c r="C158" s="65">
        <v>161198.9</v>
      </c>
      <c r="D158" s="65">
        <v>17278.899999999998</v>
      </c>
      <c r="E158" s="65">
        <v>3217.3</v>
      </c>
      <c r="F158" s="65">
        <v>12359.3</v>
      </c>
      <c r="G158" s="65">
        <v>2.6</v>
      </c>
      <c r="H158" s="67">
        <f>4745.9+39969.8</f>
        <v>44715.700000000004</v>
      </c>
      <c r="I158" s="65">
        <f t="shared" si="12"/>
        <v>702111.5</v>
      </c>
      <c r="J158" s="73">
        <f>209302+4763.1-352162.6</f>
        <v>-138097.49999999997</v>
      </c>
      <c r="K158" s="65">
        <f>751455.5-537266.2</f>
        <v>214189.30000000005</v>
      </c>
      <c r="L158" s="69">
        <f>457570+4000</f>
        <v>461570</v>
      </c>
      <c r="M158" s="69">
        <v>0</v>
      </c>
      <c r="N158" s="65">
        <v>20</v>
      </c>
      <c r="O158" s="70"/>
      <c r="P158" s="65">
        <v>26765</v>
      </c>
      <c r="Q158" s="69" t="s">
        <v>4</v>
      </c>
      <c r="R158" s="72">
        <f>260719.6+157.9+887.8-4763.1-60606-2839.8-144141.9+88250.2</f>
        <v>137664.7</v>
      </c>
      <c r="S158" s="65">
        <f t="shared" si="13"/>
        <v>702111.5</v>
      </c>
      <c r="T158" s="65">
        <v>2498725.366666666</v>
      </c>
      <c r="U158" s="65">
        <f t="shared" si="15"/>
        <v>3.5588725817290645</v>
      </c>
    </row>
    <row r="159" spans="1:21" s="62" customFormat="1" ht="15.75">
      <c r="A159" s="64">
        <v>44104</v>
      </c>
      <c r="B159" s="65">
        <v>454635.1</v>
      </c>
      <c r="C159" s="65">
        <v>225925.4</v>
      </c>
      <c r="D159" s="65">
        <v>17859.6</v>
      </c>
      <c r="E159" s="65">
        <v>5187.4</v>
      </c>
      <c r="F159" s="65">
        <v>16733</v>
      </c>
      <c r="G159" s="65">
        <v>3</v>
      </c>
      <c r="H159" s="67">
        <f>3919.9+41267.2</f>
        <v>45187.1</v>
      </c>
      <c r="I159" s="65">
        <f t="shared" si="12"/>
        <v>765530.6</v>
      </c>
      <c r="J159" s="73">
        <f>196602.9+4763.1-352390.2</f>
        <v>-151024.2</v>
      </c>
      <c r="K159" s="65">
        <f>901482.7-447533.4</f>
        <v>453949.29999999993</v>
      </c>
      <c r="L159" s="69">
        <f>360450+4000</f>
        <v>364450</v>
      </c>
      <c r="M159" s="69">
        <v>0</v>
      </c>
      <c r="N159" s="65">
        <v>20</v>
      </c>
      <c r="O159" s="70"/>
      <c r="P159" s="65">
        <v>27566.4</v>
      </c>
      <c r="Q159" s="69" t="s">
        <v>4</v>
      </c>
      <c r="R159" s="72">
        <f>200006.1+157.9+887.8-4763.1-65861.7-2821.3-143938.8+86902.2</f>
        <v>70569.09999999999</v>
      </c>
      <c r="S159" s="65">
        <f t="shared" si="13"/>
        <v>765530.5999999999</v>
      </c>
      <c r="T159" s="65">
        <v>2577494.4</v>
      </c>
      <c r="U159" s="65">
        <f t="shared" si="15"/>
        <v>3.3669384345968667</v>
      </c>
    </row>
    <row r="160" spans="1:21" s="62" customFormat="1" ht="15.75">
      <c r="A160" s="64">
        <v>44135</v>
      </c>
      <c r="B160" s="65">
        <v>451043.8</v>
      </c>
      <c r="C160" s="65">
        <v>177742.6</v>
      </c>
      <c r="D160" s="65">
        <v>16074.699999999999</v>
      </c>
      <c r="E160" s="65">
        <v>4021.3</v>
      </c>
      <c r="F160" s="65">
        <v>9405.599999999999</v>
      </c>
      <c r="G160" s="65">
        <v>3.5</v>
      </c>
      <c r="H160" s="67">
        <f>4827.9+39226.7</f>
        <v>44054.6</v>
      </c>
      <c r="I160" s="65">
        <f t="shared" si="12"/>
        <v>702346.1</v>
      </c>
      <c r="J160" s="73">
        <f>186130.2+4763.1-339086.5</f>
        <v>-148193.19999999998</v>
      </c>
      <c r="K160" s="65">
        <f>901974.9-486119.8</f>
        <v>415855.10000000003</v>
      </c>
      <c r="L160" s="69">
        <f>322527.1+4000</f>
        <v>326527.1</v>
      </c>
      <c r="M160" s="69">
        <v>0</v>
      </c>
      <c r="N160" s="65">
        <v>20</v>
      </c>
      <c r="O160" s="70"/>
      <c r="P160" s="65">
        <v>28345.300000000003</v>
      </c>
      <c r="Q160" s="69" t="s">
        <v>4</v>
      </c>
      <c r="R160" s="72">
        <f>215484.6+157.9+887.8-4763.1-61430.1-2972.9-154475.2+86902.8</f>
        <v>79791.79999999997</v>
      </c>
      <c r="S160" s="65">
        <f t="shared" si="13"/>
        <v>702346.1</v>
      </c>
      <c r="T160" s="65">
        <v>2582417.3333333335</v>
      </c>
      <c r="U160" s="65">
        <f t="shared" si="15"/>
        <v>3.6768444123678248</v>
      </c>
    </row>
    <row r="161" spans="1:21" s="62" customFormat="1" ht="15.75">
      <c r="A161" s="64">
        <v>44165</v>
      </c>
      <c r="B161" s="65">
        <v>458174</v>
      </c>
      <c r="C161" s="65">
        <v>188782.8</v>
      </c>
      <c r="D161" s="65">
        <v>8576.6</v>
      </c>
      <c r="E161" s="65">
        <v>2194.3</v>
      </c>
      <c r="F161" s="65">
        <v>10968.7</v>
      </c>
      <c r="G161" s="65">
        <v>4.2</v>
      </c>
      <c r="H161" s="67">
        <f>4342+43417.3</f>
        <v>47759.3</v>
      </c>
      <c r="I161" s="65">
        <f t="shared" si="12"/>
        <v>716459.8999999999</v>
      </c>
      <c r="J161" s="73">
        <f>197642.4+4763.1-341367.1</f>
        <v>-138961.59999999998</v>
      </c>
      <c r="K161" s="65">
        <f>899449.4-487480.1</f>
        <v>411969.30000000005</v>
      </c>
      <c r="L161" s="69">
        <f>318416+4000</f>
        <v>322416</v>
      </c>
      <c r="M161" s="69">
        <v>0</v>
      </c>
      <c r="N161" s="65">
        <v>20</v>
      </c>
      <c r="O161" s="70"/>
      <c r="P161" s="65">
        <v>28666</v>
      </c>
      <c r="Q161" s="69" t="s">
        <v>4</v>
      </c>
      <c r="R161" s="72">
        <f>225733.8+157.9+887.8-4763.1-58995.2-2658.9-155118.5+87106.4</f>
        <v>92350.19999999995</v>
      </c>
      <c r="S161" s="65">
        <f t="shared" si="13"/>
        <v>716459.9</v>
      </c>
      <c r="T161" s="65">
        <v>2660602.366666666</v>
      </c>
      <c r="U161" s="65">
        <f t="shared" si="15"/>
        <v>3.7135398180228463</v>
      </c>
    </row>
    <row r="162" spans="1:21" s="62" customFormat="1" ht="15.75">
      <c r="A162" s="64">
        <v>44196</v>
      </c>
      <c r="B162" s="65">
        <v>503703.5</v>
      </c>
      <c r="C162" s="65">
        <v>216248.8</v>
      </c>
      <c r="D162" s="65">
        <v>9345.300000000001</v>
      </c>
      <c r="E162" s="65">
        <v>4005.2</v>
      </c>
      <c r="F162" s="65">
        <v>5956.7</v>
      </c>
      <c r="G162" s="65">
        <v>4.7</v>
      </c>
      <c r="H162" s="67">
        <f>5393.2+34319.3</f>
        <v>39712.5</v>
      </c>
      <c r="I162" s="65">
        <f t="shared" si="12"/>
        <v>778976.7</v>
      </c>
      <c r="J162" s="73">
        <f>246109.6+4763.1-343978</f>
        <v>-93105.29999999999</v>
      </c>
      <c r="K162" s="65">
        <f>894667.8-456634.2</f>
        <v>438033.60000000003</v>
      </c>
      <c r="L162" s="69">
        <f>298901.2+4000</f>
        <v>302901.2</v>
      </c>
      <c r="M162" s="69">
        <v>0</v>
      </c>
      <c r="N162" s="65">
        <v>20</v>
      </c>
      <c r="O162" s="70"/>
      <c r="P162" s="65">
        <v>28597.200000000004</v>
      </c>
      <c r="Q162" s="69" t="s">
        <v>4</v>
      </c>
      <c r="R162" s="72">
        <f>213092.6+157.9+887.8-4763.1-63218.3-2905.1-100594.8+59873</f>
        <v>102529.99999999996</v>
      </c>
      <c r="S162" s="65">
        <f t="shared" si="13"/>
        <v>778976.7</v>
      </c>
      <c r="T162" s="65">
        <v>2733847</v>
      </c>
      <c r="U162" s="65">
        <f t="shared" si="15"/>
        <v>3.5095362929340506</v>
      </c>
    </row>
    <row r="163" spans="1:21" s="62" customFormat="1" ht="15.75">
      <c r="A163" s="64">
        <v>44227</v>
      </c>
      <c r="B163" s="65">
        <v>477149.7</v>
      </c>
      <c r="C163" s="65">
        <v>180878</v>
      </c>
      <c r="D163" s="65">
        <v>18457.899999999998</v>
      </c>
      <c r="E163" s="65">
        <v>4079.9</v>
      </c>
      <c r="F163" s="65">
        <v>14884.8</v>
      </c>
      <c r="G163" s="65">
        <v>11.2</v>
      </c>
      <c r="H163" s="67">
        <v>44693.1</v>
      </c>
      <c r="I163" s="65">
        <f t="shared" si="12"/>
        <v>740154.6</v>
      </c>
      <c r="J163" s="73">
        <v>-100769.6</v>
      </c>
      <c r="K163" s="65">
        <v>400616.9</v>
      </c>
      <c r="L163" s="69">
        <v>301210.8</v>
      </c>
      <c r="M163" s="69">
        <v>0</v>
      </c>
      <c r="N163" s="65">
        <v>20</v>
      </c>
      <c r="O163" s="70"/>
      <c r="P163" s="65">
        <v>28149.7</v>
      </c>
      <c r="Q163" s="69" t="s">
        <v>4</v>
      </c>
      <c r="R163" s="72">
        <v>110926.79999999997</v>
      </c>
      <c r="S163" s="65">
        <f t="shared" si="13"/>
        <v>740154.6</v>
      </c>
      <c r="T163" s="65">
        <v>2771764.1333333333</v>
      </c>
      <c r="U163" s="65">
        <f t="shared" si="15"/>
        <v>3.7448448382720763</v>
      </c>
    </row>
    <row r="164" spans="1:21" s="62" customFormat="1" ht="15.75">
      <c r="A164" s="64">
        <v>44255</v>
      </c>
      <c r="B164" s="65">
        <v>473083.2</v>
      </c>
      <c r="C164" s="65">
        <v>147037.3</v>
      </c>
      <c r="D164" s="65">
        <v>21243.1</v>
      </c>
      <c r="E164" s="65">
        <v>3496.3</v>
      </c>
      <c r="F164" s="65">
        <v>12344.5</v>
      </c>
      <c r="G164" s="65">
        <v>13.6</v>
      </c>
      <c r="H164" s="67">
        <v>45381.2</v>
      </c>
      <c r="I164" s="65">
        <f t="shared" si="12"/>
        <v>702599.2</v>
      </c>
      <c r="J164" s="73">
        <v>-94851.99999999997</v>
      </c>
      <c r="K164" s="65">
        <v>359770.20000000007</v>
      </c>
      <c r="L164" s="69">
        <v>296256</v>
      </c>
      <c r="M164" s="69">
        <v>0</v>
      </c>
      <c r="N164" s="65">
        <v>20</v>
      </c>
      <c r="O164" s="70"/>
      <c r="P164" s="65">
        <v>28190.100000000002</v>
      </c>
      <c r="Q164" s="69" t="s">
        <v>4</v>
      </c>
      <c r="R164" s="72">
        <v>113214.9</v>
      </c>
      <c r="S164" s="65">
        <f t="shared" si="13"/>
        <v>702599.2000000001</v>
      </c>
      <c r="T164" s="65">
        <v>2812776.1666666665</v>
      </c>
      <c r="U164" s="65">
        <f t="shared" si="15"/>
        <v>4.003386520603306</v>
      </c>
    </row>
    <row r="165" spans="1:21" s="62" customFormat="1" ht="15.75">
      <c r="A165" s="64">
        <v>44286</v>
      </c>
      <c r="B165" s="65">
        <v>474986</v>
      </c>
      <c r="C165" s="65">
        <v>137912.3</v>
      </c>
      <c r="D165" s="65">
        <v>22891.199999999997</v>
      </c>
      <c r="E165" s="65">
        <v>5859.7</v>
      </c>
      <c r="F165" s="65">
        <v>13232.5</v>
      </c>
      <c r="G165" s="65">
        <v>48.9</v>
      </c>
      <c r="H165" s="67">
        <v>40457.9</v>
      </c>
      <c r="I165" s="65">
        <f t="shared" si="12"/>
        <v>695388.5</v>
      </c>
      <c r="J165" s="73">
        <v>-119123.90000000002</v>
      </c>
      <c r="K165" s="65">
        <v>372644.30000000005</v>
      </c>
      <c r="L165" s="69">
        <v>299757</v>
      </c>
      <c r="M165" s="69">
        <v>0</v>
      </c>
      <c r="N165" s="65">
        <v>20</v>
      </c>
      <c r="O165" s="70"/>
      <c r="P165" s="65">
        <v>28260.000000000004</v>
      </c>
      <c r="Q165" s="69" t="s">
        <v>4</v>
      </c>
      <c r="R165" s="72">
        <v>113831.09999999998</v>
      </c>
      <c r="S165" s="65">
        <f t="shared" si="13"/>
        <v>695388.5</v>
      </c>
      <c r="T165" s="65">
        <v>2839690.1999999993</v>
      </c>
      <c r="U165" s="65">
        <f t="shared" si="15"/>
        <v>4.083602475450772</v>
      </c>
    </row>
    <row r="166" spans="1:21" s="62" customFormat="1" ht="15.75">
      <c r="A166" s="64">
        <v>44316</v>
      </c>
      <c r="B166" s="65">
        <v>482911.4</v>
      </c>
      <c r="C166" s="65">
        <v>199403.59999999998</v>
      </c>
      <c r="D166" s="65">
        <v>19555.5</v>
      </c>
      <c r="E166" s="65">
        <v>4448.4</v>
      </c>
      <c r="F166" s="65">
        <v>7223.4</v>
      </c>
      <c r="G166" s="65">
        <v>49.9</v>
      </c>
      <c r="H166" s="67">
        <v>36950.299999999996</v>
      </c>
      <c r="I166" s="65">
        <f t="shared" si="12"/>
        <v>750542.5</v>
      </c>
      <c r="J166" s="73">
        <v>-105226.1</v>
      </c>
      <c r="K166" s="65">
        <v>383495</v>
      </c>
      <c r="L166" s="69">
        <v>335560.7</v>
      </c>
      <c r="M166" s="69">
        <v>0</v>
      </c>
      <c r="N166" s="65">
        <v>20</v>
      </c>
      <c r="O166" s="70"/>
      <c r="P166" s="65">
        <v>28919.500000000004</v>
      </c>
      <c r="Q166" s="69" t="s">
        <v>4</v>
      </c>
      <c r="R166" s="72">
        <v>107773.40000000002</v>
      </c>
      <c r="S166" s="65">
        <f t="shared" si="13"/>
        <v>750542.5000000001</v>
      </c>
      <c r="T166" s="65">
        <v>2835804.8999999994</v>
      </c>
      <c r="U166" s="65">
        <f t="shared" si="15"/>
        <v>3.7783402005882403</v>
      </c>
    </row>
    <row r="167" spans="1:21" s="62" customFormat="1" ht="15.75">
      <c r="A167" s="64">
        <v>44347</v>
      </c>
      <c r="B167" s="65">
        <v>499454.8</v>
      </c>
      <c r="C167" s="65">
        <v>190557.90000000002</v>
      </c>
      <c r="D167" s="65">
        <v>30579.199999999997</v>
      </c>
      <c r="E167" s="65">
        <v>1279.7</v>
      </c>
      <c r="F167" s="65">
        <v>11349</v>
      </c>
      <c r="G167" s="65">
        <v>50.6</v>
      </c>
      <c r="H167" s="67">
        <v>34308.5</v>
      </c>
      <c r="I167" s="65">
        <f t="shared" si="12"/>
        <v>767579.7</v>
      </c>
      <c r="J167" s="73">
        <v>-123599.69999999998</v>
      </c>
      <c r="K167" s="65">
        <v>386482.7</v>
      </c>
      <c r="L167" s="69">
        <v>348510.5</v>
      </c>
      <c r="M167" s="69">
        <v>0</v>
      </c>
      <c r="N167" s="65">
        <v>20</v>
      </c>
      <c r="O167" s="70"/>
      <c r="P167" s="65">
        <v>28794.9</v>
      </c>
      <c r="Q167" s="69" t="s">
        <v>4</v>
      </c>
      <c r="R167" s="72">
        <v>127371.3</v>
      </c>
      <c r="S167" s="65">
        <f t="shared" si="13"/>
        <v>767579.7000000001</v>
      </c>
      <c r="T167" s="65">
        <v>2926490.5000000005</v>
      </c>
      <c r="U167" s="65">
        <f t="shared" si="15"/>
        <v>3.812621021634627</v>
      </c>
    </row>
    <row r="168" spans="1:21" s="62" customFormat="1" ht="15.75">
      <c r="A168" s="64">
        <v>44377</v>
      </c>
      <c r="B168" s="65">
        <v>536813.3</v>
      </c>
      <c r="C168" s="65">
        <v>203784.59999999998</v>
      </c>
      <c r="D168" s="65">
        <v>10404.800000000001</v>
      </c>
      <c r="E168" s="65">
        <v>3747.8</v>
      </c>
      <c r="F168" s="65">
        <v>12463.2</v>
      </c>
      <c r="G168" s="65">
        <v>59.9</v>
      </c>
      <c r="H168" s="67">
        <v>40052.9</v>
      </c>
      <c r="I168" s="65">
        <f t="shared" si="12"/>
        <v>807326.5000000001</v>
      </c>
      <c r="J168" s="73">
        <v>-114588.39999999997</v>
      </c>
      <c r="K168" s="65">
        <v>404650.20000000007</v>
      </c>
      <c r="L168" s="69">
        <v>323679.4</v>
      </c>
      <c r="M168" s="69">
        <v>0</v>
      </c>
      <c r="N168" s="65">
        <v>20</v>
      </c>
      <c r="O168" s="70"/>
      <c r="P168" s="65">
        <v>28596.800000000003</v>
      </c>
      <c r="Q168" s="69" t="s">
        <v>4</v>
      </c>
      <c r="R168" s="72">
        <v>164968.49999999994</v>
      </c>
      <c r="S168" s="65">
        <f t="shared" si="13"/>
        <v>807326.5000000002</v>
      </c>
      <c r="T168" s="65">
        <v>3094992.5300000003</v>
      </c>
      <c r="U168" s="65">
        <f t="shared" si="15"/>
        <v>3.833631783423435</v>
      </c>
    </row>
    <row r="169" spans="1:21" s="62" customFormat="1" ht="15.75">
      <c r="A169" s="64">
        <v>44378</v>
      </c>
      <c r="B169" s="65">
        <v>547807.2</v>
      </c>
      <c r="C169" s="65">
        <v>210043.5</v>
      </c>
      <c r="D169" s="65">
        <v>19916.899999999998</v>
      </c>
      <c r="E169" s="65">
        <v>1367.6</v>
      </c>
      <c r="F169" s="65">
        <v>13156.6</v>
      </c>
      <c r="G169" s="65">
        <v>33.2</v>
      </c>
      <c r="H169" s="67">
        <v>41040.9</v>
      </c>
      <c r="I169" s="65">
        <f t="shared" si="12"/>
        <v>833365.8999999999</v>
      </c>
      <c r="J169" s="73">
        <v>-137154.4</v>
      </c>
      <c r="K169" s="65">
        <v>417541.1</v>
      </c>
      <c r="L169" s="69">
        <v>337641.4</v>
      </c>
      <c r="M169" s="69">
        <v>0</v>
      </c>
      <c r="N169" s="65">
        <v>20</v>
      </c>
      <c r="O169" s="70"/>
      <c r="P169" s="65">
        <v>28911.500000000004</v>
      </c>
      <c r="Q169" s="69" t="s">
        <v>4</v>
      </c>
      <c r="R169" s="72">
        <v>186406.3</v>
      </c>
      <c r="S169" s="65">
        <f t="shared" si="13"/>
        <v>833365.8999999999</v>
      </c>
      <c r="T169" s="65">
        <v>3178620.6299999994</v>
      </c>
      <c r="U169" s="65">
        <f t="shared" si="15"/>
        <v>3.814195697232152</v>
      </c>
    </row>
    <row r="170" spans="1:21" s="62" customFormat="1" ht="15.75">
      <c r="A170" s="64">
        <v>44410</v>
      </c>
      <c r="B170" s="65">
        <v>559101.4</v>
      </c>
      <c r="C170" s="65">
        <v>206209</v>
      </c>
      <c r="D170" s="65">
        <v>24578.5</v>
      </c>
      <c r="E170" s="65">
        <v>2561.7</v>
      </c>
      <c r="F170" s="65">
        <v>13438</v>
      </c>
      <c r="G170" s="65">
        <v>14.3</v>
      </c>
      <c r="H170" s="67">
        <v>39250.3</v>
      </c>
      <c r="I170" s="65">
        <f t="shared" si="12"/>
        <v>845153.2000000001</v>
      </c>
      <c r="J170" s="73">
        <v>-140628</v>
      </c>
      <c r="K170" s="65">
        <v>363639</v>
      </c>
      <c r="L170" s="69">
        <v>390290.30000000005</v>
      </c>
      <c r="M170" s="69">
        <v>0</v>
      </c>
      <c r="N170" s="65">
        <v>20</v>
      </c>
      <c r="O170" s="70"/>
      <c r="P170" s="65">
        <v>28944.4</v>
      </c>
      <c r="Q170" s="69" t="s">
        <v>4</v>
      </c>
      <c r="R170" s="72">
        <v>202887.50000000003</v>
      </c>
      <c r="S170" s="65">
        <f t="shared" si="13"/>
        <v>845153.2000000001</v>
      </c>
      <c r="T170" s="65">
        <v>3248792.6</v>
      </c>
      <c r="U170" s="65">
        <f t="shared" si="15"/>
        <v>3.8440280413065935</v>
      </c>
    </row>
    <row r="171" spans="1:21" s="62" customFormat="1" ht="15.75">
      <c r="A171" s="64">
        <v>44442</v>
      </c>
      <c r="B171" s="65">
        <v>551949.2</v>
      </c>
      <c r="C171" s="65">
        <v>208470.7</v>
      </c>
      <c r="D171" s="65">
        <v>24343.3</v>
      </c>
      <c r="E171" s="65">
        <v>1656.8000000000002</v>
      </c>
      <c r="F171" s="65">
        <v>15452.1</v>
      </c>
      <c r="G171" s="65">
        <v>8.4</v>
      </c>
      <c r="H171" s="67">
        <v>39107</v>
      </c>
      <c r="I171" s="65">
        <f t="shared" si="12"/>
        <v>840987.5000000001</v>
      </c>
      <c r="J171" s="73">
        <v>-150538.6000000001</v>
      </c>
      <c r="K171" s="65">
        <v>324019.3999999999</v>
      </c>
      <c r="L171" s="69">
        <v>425854.30000000005</v>
      </c>
      <c r="M171" s="69">
        <v>0</v>
      </c>
      <c r="N171" s="65">
        <v>20</v>
      </c>
      <c r="O171" s="70"/>
      <c r="P171" s="65">
        <v>28737.300000000003</v>
      </c>
      <c r="Q171" s="69" t="s">
        <v>4</v>
      </c>
      <c r="R171" s="72">
        <v>212895.10000000003</v>
      </c>
      <c r="S171" s="65">
        <f t="shared" si="13"/>
        <v>840987.5</v>
      </c>
      <c r="T171" s="65">
        <v>3326752.6</v>
      </c>
      <c r="U171" s="65">
        <f t="shared" si="15"/>
        <v>3.9557693782606753</v>
      </c>
    </row>
    <row r="172" spans="1:21" s="62" customFormat="1" ht="15.75">
      <c r="A172" s="64">
        <v>44473</v>
      </c>
      <c r="B172" s="65">
        <v>534859.7</v>
      </c>
      <c r="C172" s="65">
        <v>223872.2</v>
      </c>
      <c r="D172" s="65">
        <v>19875</v>
      </c>
      <c r="E172" s="65">
        <v>1462.3000000000002</v>
      </c>
      <c r="F172" s="65">
        <v>12874</v>
      </c>
      <c r="G172" s="65">
        <v>5.9</v>
      </c>
      <c r="H172" s="67">
        <v>47942.6</v>
      </c>
      <c r="I172" s="65">
        <f t="shared" si="12"/>
        <v>840891.7000000001</v>
      </c>
      <c r="J172" s="73">
        <v>4592.70000000007</v>
      </c>
      <c r="K172" s="65">
        <v>153139.19999999995</v>
      </c>
      <c r="L172" s="69">
        <v>421044.3</v>
      </c>
      <c r="M172" s="69">
        <v>0</v>
      </c>
      <c r="N172" s="65">
        <v>20</v>
      </c>
      <c r="O172" s="70"/>
      <c r="P172" s="65">
        <v>29129.4</v>
      </c>
      <c r="Q172" s="69" t="s">
        <v>4</v>
      </c>
      <c r="R172" s="72">
        <v>232966.09999999998</v>
      </c>
      <c r="S172" s="65">
        <f t="shared" si="13"/>
        <v>840891.7</v>
      </c>
      <c r="T172" s="65">
        <v>3336442.5333333337</v>
      </c>
      <c r="U172" s="65">
        <f t="shared" si="15"/>
        <v>3.9677434482149527</v>
      </c>
    </row>
    <row r="173" spans="1:21" s="62" customFormat="1" ht="15.75">
      <c r="A173" s="64">
        <v>44505</v>
      </c>
      <c r="B173" s="65">
        <v>540558.6</v>
      </c>
      <c r="C173" s="65">
        <v>214005.90000000002</v>
      </c>
      <c r="D173" s="65">
        <v>23510.6</v>
      </c>
      <c r="E173" s="65">
        <v>1347.2</v>
      </c>
      <c r="F173" s="65">
        <v>12348.9</v>
      </c>
      <c r="G173" s="65">
        <v>12.6</v>
      </c>
      <c r="H173" s="67">
        <v>47184.799999999996</v>
      </c>
      <c r="I173" s="65">
        <f t="shared" si="12"/>
        <v>838968.6</v>
      </c>
      <c r="J173" s="73">
        <v>-78219.3999999999</v>
      </c>
      <c r="K173" s="65">
        <v>162716.20000000007</v>
      </c>
      <c r="L173" s="69">
        <v>493661.89999999997</v>
      </c>
      <c r="M173" s="69">
        <v>0</v>
      </c>
      <c r="N173" s="65">
        <v>20</v>
      </c>
      <c r="O173" s="70"/>
      <c r="P173" s="65">
        <v>29607.100000000002</v>
      </c>
      <c r="Q173" s="69" t="s">
        <v>4</v>
      </c>
      <c r="R173" s="72">
        <v>231182.8</v>
      </c>
      <c r="S173" s="65">
        <f t="shared" si="13"/>
        <v>838968.6000000001</v>
      </c>
      <c r="T173" s="65">
        <v>3296137.3666666667</v>
      </c>
      <c r="U173" s="65">
        <f t="shared" si="15"/>
        <v>3.9287970570849335</v>
      </c>
    </row>
    <row r="174" spans="1:21" s="62" customFormat="1" ht="15.75">
      <c r="A174" s="64">
        <v>44536</v>
      </c>
      <c r="B174" s="65">
        <v>567563.8</v>
      </c>
      <c r="C174" s="65">
        <v>156833.90000000002</v>
      </c>
      <c r="D174" s="65">
        <v>9985.4</v>
      </c>
      <c r="E174" s="65">
        <v>1729.1</v>
      </c>
      <c r="F174" s="65">
        <v>12685.6</v>
      </c>
      <c r="G174" s="65">
        <v>20.1</v>
      </c>
      <c r="H174" s="67">
        <v>38821.6</v>
      </c>
      <c r="I174" s="65">
        <f t="shared" si="12"/>
        <v>787639.5</v>
      </c>
      <c r="J174" s="73">
        <v>-141348.09999999998</v>
      </c>
      <c r="K174" s="65">
        <v>152245.69999999995</v>
      </c>
      <c r="L174" s="69">
        <v>530461.7000000001</v>
      </c>
      <c r="M174" s="69">
        <v>0</v>
      </c>
      <c r="N174" s="65">
        <v>20</v>
      </c>
      <c r="O174" s="70"/>
      <c r="P174" s="65">
        <v>29929.7</v>
      </c>
      <c r="Q174" s="69" t="s">
        <v>4</v>
      </c>
      <c r="R174" s="72">
        <v>216330.5</v>
      </c>
      <c r="S174" s="65">
        <f t="shared" si="13"/>
        <v>787639.5</v>
      </c>
      <c r="T174" s="65">
        <v>3289945.4</v>
      </c>
      <c r="U174" s="65">
        <f t="shared" si="15"/>
        <v>4.176968524305853</v>
      </c>
    </row>
    <row r="175" spans="1:21" s="62" customFormat="1" ht="18">
      <c r="A175" s="64" t="s">
        <v>61</v>
      </c>
      <c r="B175" s="65">
        <v>539682.3</v>
      </c>
      <c r="C175" s="65">
        <v>355152</v>
      </c>
      <c r="D175" s="65">
        <v>13595.199999999999</v>
      </c>
      <c r="E175" s="65">
        <v>1289.6</v>
      </c>
      <c r="F175" s="65">
        <v>12681.3</v>
      </c>
      <c r="G175" s="65">
        <v>26.4</v>
      </c>
      <c r="H175" s="67">
        <v>32730.1</v>
      </c>
      <c r="I175" s="65">
        <f t="shared" si="12"/>
        <v>955156.9</v>
      </c>
      <c r="J175" s="73">
        <v>-117059.80000000005</v>
      </c>
      <c r="K175" s="65">
        <v>309626.9</v>
      </c>
      <c r="L175" s="69">
        <v>507898.5</v>
      </c>
      <c r="M175" s="69">
        <v>0</v>
      </c>
      <c r="N175" s="65">
        <v>20</v>
      </c>
      <c r="O175" s="70"/>
      <c r="P175" s="65">
        <v>30053.100000000002</v>
      </c>
      <c r="Q175" s="69" t="s">
        <v>4</v>
      </c>
      <c r="R175" s="72">
        <v>224618.19999999998</v>
      </c>
      <c r="S175" s="65">
        <f t="shared" si="13"/>
        <v>955156.8999999999</v>
      </c>
      <c r="T175" s="65">
        <v>3430397.366666666</v>
      </c>
      <c r="U175" s="65">
        <f t="shared" si="15"/>
        <v>3.5914490767607563</v>
      </c>
    </row>
    <row r="176" spans="1:21" s="62" customFormat="1" ht="18">
      <c r="A176" s="64" t="s">
        <v>62</v>
      </c>
      <c r="B176" s="65">
        <v>539682.3</v>
      </c>
      <c r="C176" s="65">
        <v>355152</v>
      </c>
      <c r="D176" s="65">
        <v>13595.199999999999</v>
      </c>
      <c r="E176" s="65">
        <v>1289.6</v>
      </c>
      <c r="F176" s="65">
        <v>12681.3</v>
      </c>
      <c r="G176" s="65">
        <v>26.4</v>
      </c>
      <c r="H176" s="67">
        <v>32730.1</v>
      </c>
      <c r="I176" s="65">
        <f t="shared" si="12"/>
        <v>955156.9</v>
      </c>
      <c r="J176" s="73">
        <v>-117059.80000000005</v>
      </c>
      <c r="K176" s="65">
        <v>309626.9</v>
      </c>
      <c r="L176" s="69">
        <v>507898.5</v>
      </c>
      <c r="M176" s="69">
        <v>0</v>
      </c>
      <c r="N176" s="65">
        <v>20</v>
      </c>
      <c r="O176" s="70"/>
      <c r="P176" s="65">
        <v>30053.100000000002</v>
      </c>
      <c r="Q176" s="69" t="s">
        <v>4</v>
      </c>
      <c r="R176" s="72">
        <v>224618.19999999998</v>
      </c>
      <c r="S176" s="65">
        <f t="shared" si="13"/>
        <v>955156.8999999999</v>
      </c>
      <c r="T176" s="65">
        <v>3448477.833333333</v>
      </c>
      <c r="U176" s="65">
        <f t="shared" si="15"/>
        <v>3.6103783926319677</v>
      </c>
    </row>
    <row r="177" spans="1:21" s="62" customFormat="1" ht="18">
      <c r="A177" s="64" t="s">
        <v>63</v>
      </c>
      <c r="B177" s="65">
        <v>546469.1</v>
      </c>
      <c r="C177" s="65">
        <v>254701.90000000002</v>
      </c>
      <c r="D177" s="65">
        <v>13289.3</v>
      </c>
      <c r="E177" s="65">
        <v>1577.2</v>
      </c>
      <c r="F177" s="65">
        <v>0</v>
      </c>
      <c r="G177" s="65">
        <v>0</v>
      </c>
      <c r="H177" s="67">
        <v>32873.3</v>
      </c>
      <c r="I177" s="65">
        <f t="shared" si="12"/>
        <v>848910.8</v>
      </c>
      <c r="J177" s="73">
        <v>-113493.8999999999</v>
      </c>
      <c r="K177" s="65">
        <v>173399.6000000001</v>
      </c>
      <c r="L177" s="69">
        <v>563559.2000000001</v>
      </c>
      <c r="M177" s="69">
        <v>0</v>
      </c>
      <c r="N177" s="65">
        <v>20</v>
      </c>
      <c r="O177" s="70"/>
      <c r="P177" s="65">
        <v>32041.9</v>
      </c>
      <c r="Q177" s="69" t="s">
        <v>4</v>
      </c>
      <c r="R177" s="72">
        <v>193384</v>
      </c>
      <c r="S177" s="65">
        <f t="shared" si="13"/>
        <v>848910.8000000003</v>
      </c>
      <c r="T177" s="65">
        <v>3460405.9</v>
      </c>
      <c r="U177" s="65">
        <f t="shared" si="15"/>
        <v>4.076289169604156</v>
      </c>
    </row>
    <row r="178" spans="1:21" s="62" customFormat="1" ht="18">
      <c r="A178" s="64" t="s">
        <v>64</v>
      </c>
      <c r="B178" s="65">
        <v>546469.1</v>
      </c>
      <c r="C178" s="65">
        <v>254701.90000000002</v>
      </c>
      <c r="D178" s="65">
        <v>13289.3</v>
      </c>
      <c r="E178" s="65">
        <v>1577.2</v>
      </c>
      <c r="F178" s="65">
        <v>0</v>
      </c>
      <c r="G178" s="65">
        <v>0</v>
      </c>
      <c r="H178" s="67">
        <v>32873.3</v>
      </c>
      <c r="I178" s="65">
        <f t="shared" si="12"/>
        <v>848910.8</v>
      </c>
      <c r="J178" s="73">
        <v>-113493.8999999999</v>
      </c>
      <c r="K178" s="65">
        <v>173399.6000000001</v>
      </c>
      <c r="L178" s="69">
        <v>563559.2000000001</v>
      </c>
      <c r="M178" s="69">
        <v>0</v>
      </c>
      <c r="N178" s="65">
        <v>20</v>
      </c>
      <c r="O178" s="70"/>
      <c r="P178" s="65">
        <v>32041.9</v>
      </c>
      <c r="Q178" s="69" t="s">
        <v>4</v>
      </c>
      <c r="R178" s="72">
        <v>193384</v>
      </c>
      <c r="S178" s="65">
        <f t="shared" si="13"/>
        <v>848910.8000000003</v>
      </c>
      <c r="T178" s="65">
        <v>3557917.433333333</v>
      </c>
      <c r="U178" s="65">
        <f t="shared" si="15"/>
        <v>4.191155812051552</v>
      </c>
    </row>
    <row r="179" spans="1:21" s="62" customFormat="1" ht="18">
      <c r="A179" s="64" t="s">
        <v>65</v>
      </c>
      <c r="B179" s="65">
        <v>546469.1</v>
      </c>
      <c r="C179" s="65">
        <v>254701.90000000002</v>
      </c>
      <c r="D179" s="65">
        <v>13289.3</v>
      </c>
      <c r="E179" s="65">
        <v>1577.2</v>
      </c>
      <c r="F179" s="65">
        <v>0</v>
      </c>
      <c r="G179" s="65">
        <v>0</v>
      </c>
      <c r="H179" s="67">
        <v>32873.3</v>
      </c>
      <c r="I179" s="65">
        <f aca="true" t="shared" si="16" ref="I179:I186">H179+F179+E179+C179+B179+G179+D179</f>
        <v>848910.8</v>
      </c>
      <c r="J179" s="73">
        <v>-113493.8999999999</v>
      </c>
      <c r="K179" s="65">
        <v>173399.6000000001</v>
      </c>
      <c r="L179" s="69">
        <v>563559.2000000001</v>
      </c>
      <c r="M179" s="69">
        <v>0</v>
      </c>
      <c r="N179" s="65">
        <v>20</v>
      </c>
      <c r="O179" s="70"/>
      <c r="P179" s="65">
        <v>32041.9</v>
      </c>
      <c r="Q179" s="69" t="s">
        <v>4</v>
      </c>
      <c r="R179" s="72">
        <v>193384</v>
      </c>
      <c r="S179" s="65">
        <f t="shared" si="13"/>
        <v>848910.8000000003</v>
      </c>
      <c r="T179" s="65">
        <v>3637060.1666666665</v>
      </c>
      <c r="U179" s="65">
        <f t="shared" si="15"/>
        <v>4.284384374267198</v>
      </c>
    </row>
    <row r="180" spans="1:21" s="62" customFormat="1" ht="18">
      <c r="A180" s="64" t="s">
        <v>66</v>
      </c>
      <c r="B180" s="65">
        <v>612603.1</v>
      </c>
      <c r="C180" s="65">
        <v>346513.3</v>
      </c>
      <c r="D180" s="65">
        <v>21759.8</v>
      </c>
      <c r="E180" s="65">
        <v>13103.5</v>
      </c>
      <c r="F180" s="65">
        <v>0</v>
      </c>
      <c r="G180" s="65">
        <v>0</v>
      </c>
      <c r="H180" s="67">
        <v>54690.1</v>
      </c>
      <c r="I180" s="65">
        <f t="shared" si="16"/>
        <v>1048669.8</v>
      </c>
      <c r="J180" s="73">
        <v>-232158.59999999998</v>
      </c>
      <c r="K180" s="65">
        <v>537846.2000000001</v>
      </c>
      <c r="L180" s="69">
        <v>574094.2000000001</v>
      </c>
      <c r="M180" s="69">
        <v>0</v>
      </c>
      <c r="N180" s="65">
        <v>20</v>
      </c>
      <c r="O180" s="70"/>
      <c r="P180" s="65">
        <v>35242.5</v>
      </c>
      <c r="Q180" s="69" t="s">
        <v>4</v>
      </c>
      <c r="R180" s="72">
        <v>133625.49999999997</v>
      </c>
      <c r="S180" s="65">
        <f t="shared" si="13"/>
        <v>1048669.8</v>
      </c>
      <c r="T180" s="65">
        <v>3735114.4999999995</v>
      </c>
      <c r="U180" s="65">
        <f t="shared" si="15"/>
        <v>3.5617641511179206</v>
      </c>
    </row>
    <row r="181" spans="1:21" s="62" customFormat="1" ht="18">
      <c r="A181" s="64" t="s">
        <v>67</v>
      </c>
      <c r="B181" s="65">
        <v>630097.7</v>
      </c>
      <c r="C181" s="65">
        <v>637226.7</v>
      </c>
      <c r="D181" s="65">
        <v>9123.800000000001</v>
      </c>
      <c r="E181" s="65">
        <v>2499.6</v>
      </c>
      <c r="F181" s="65">
        <v>9.3</v>
      </c>
      <c r="G181" s="65">
        <v>0</v>
      </c>
      <c r="H181" s="67">
        <v>53914.9</v>
      </c>
      <c r="I181" s="65">
        <f t="shared" si="16"/>
        <v>1332872</v>
      </c>
      <c r="J181" s="73">
        <v>-335583.1</v>
      </c>
      <c r="K181" s="65">
        <v>787723.2</v>
      </c>
      <c r="L181" s="69">
        <v>590141.1000000001</v>
      </c>
      <c r="M181" s="69">
        <v>0</v>
      </c>
      <c r="N181" s="65">
        <v>20</v>
      </c>
      <c r="O181" s="70"/>
      <c r="P181" s="65">
        <v>36306.1</v>
      </c>
      <c r="Q181" s="69" t="s">
        <v>4</v>
      </c>
      <c r="R181" s="72">
        <v>254264.69999999998</v>
      </c>
      <c r="S181" s="65">
        <f t="shared" si="13"/>
        <v>1332872</v>
      </c>
      <c r="T181" s="65">
        <v>4064806.166666666</v>
      </c>
      <c r="U181" s="65">
        <f t="shared" si="15"/>
        <v>3.049659807293323</v>
      </c>
    </row>
    <row r="182" spans="1:21" s="62" customFormat="1" ht="18">
      <c r="A182" s="64" t="s">
        <v>68</v>
      </c>
      <c r="B182" s="65">
        <v>658350.6</v>
      </c>
      <c r="C182" s="65">
        <v>590325.7</v>
      </c>
      <c r="D182" s="65">
        <v>16396.600000000002</v>
      </c>
      <c r="E182" s="65">
        <v>2119.5</v>
      </c>
      <c r="F182" s="65">
        <v>129.9</v>
      </c>
      <c r="G182" s="65">
        <v>0</v>
      </c>
      <c r="H182" s="67">
        <v>54539.899999999994</v>
      </c>
      <c r="I182" s="65">
        <f t="shared" si="16"/>
        <v>1321862.2000000002</v>
      </c>
      <c r="J182" s="73">
        <v>-298966.30000000005</v>
      </c>
      <c r="K182" s="65">
        <v>854431.3</v>
      </c>
      <c r="L182" s="69">
        <v>605575.6000000001</v>
      </c>
      <c r="M182" s="69">
        <v>0</v>
      </c>
      <c r="N182" s="65">
        <v>20</v>
      </c>
      <c r="O182" s="70"/>
      <c r="P182" s="65">
        <v>39059.600000000006</v>
      </c>
      <c r="Q182" s="69" t="s">
        <v>4</v>
      </c>
      <c r="R182" s="72">
        <v>121741.99999999999</v>
      </c>
      <c r="S182" s="65">
        <f t="shared" si="13"/>
        <v>1321862.2000000002</v>
      </c>
      <c r="T182" s="65">
        <v>4055303.233333333</v>
      </c>
      <c r="U182" s="65">
        <f t="shared" si="15"/>
        <v>3.067871396378028</v>
      </c>
    </row>
    <row r="183" spans="1:21" s="62" customFormat="1" ht="18">
      <c r="A183" s="64" t="s">
        <v>69</v>
      </c>
      <c r="B183" s="65">
        <v>637223.8</v>
      </c>
      <c r="C183" s="65">
        <v>584182.3999999999</v>
      </c>
      <c r="D183" s="65">
        <v>20995</v>
      </c>
      <c r="E183" s="65">
        <v>19632.3</v>
      </c>
      <c r="F183" s="65">
        <v>5675.6</v>
      </c>
      <c r="G183" s="65">
        <v>14.4</v>
      </c>
      <c r="H183" s="67">
        <v>46925.5</v>
      </c>
      <c r="I183" s="65">
        <f t="shared" si="16"/>
        <v>1314649</v>
      </c>
      <c r="J183" s="73">
        <v>-252190.40000000002</v>
      </c>
      <c r="K183" s="65">
        <v>779486.0000000001</v>
      </c>
      <c r="L183" s="69">
        <v>633901.3</v>
      </c>
      <c r="M183" s="69">
        <v>0</v>
      </c>
      <c r="N183" s="65">
        <v>20</v>
      </c>
      <c r="O183" s="70"/>
      <c r="P183" s="65">
        <v>40607.799999999996</v>
      </c>
      <c r="Q183" s="69" t="s">
        <v>4</v>
      </c>
      <c r="R183" s="72">
        <v>112824.3</v>
      </c>
      <c r="S183" s="65">
        <f t="shared" si="13"/>
        <v>1314649.0000000002</v>
      </c>
      <c r="T183" s="65">
        <v>4113484.599999999</v>
      </c>
      <c r="U183" s="65">
        <f t="shared" si="15"/>
        <v>3.1289603536761517</v>
      </c>
    </row>
    <row r="184" spans="1:21" s="62" customFormat="1" ht="18">
      <c r="A184" s="64" t="s">
        <v>70</v>
      </c>
      <c r="B184" s="65">
        <v>626676.5</v>
      </c>
      <c r="C184" s="65">
        <v>676315.8</v>
      </c>
      <c r="D184" s="65">
        <v>14868.4</v>
      </c>
      <c r="E184" s="65">
        <v>16280.1</v>
      </c>
      <c r="F184" s="65">
        <v>35.7</v>
      </c>
      <c r="G184" s="65">
        <v>0</v>
      </c>
      <c r="H184" s="67">
        <v>52600.200000000004</v>
      </c>
      <c r="I184" s="65">
        <f t="shared" si="16"/>
        <v>1386776.7</v>
      </c>
      <c r="J184" s="73">
        <v>-264530.6</v>
      </c>
      <c r="K184" s="65">
        <v>864450.2999999999</v>
      </c>
      <c r="L184" s="69">
        <v>635509.9</v>
      </c>
      <c r="M184" s="69">
        <v>0</v>
      </c>
      <c r="N184" s="65">
        <v>20</v>
      </c>
      <c r="O184" s="70"/>
      <c r="P184" s="65">
        <v>42339.2</v>
      </c>
      <c r="Q184" s="69" t="s">
        <v>4</v>
      </c>
      <c r="R184" s="72">
        <v>108987.90000000002</v>
      </c>
      <c r="S184" s="65">
        <f t="shared" si="13"/>
        <v>1386776.7000000002</v>
      </c>
      <c r="T184" s="65">
        <v>4206424.866666666</v>
      </c>
      <c r="U184" s="65">
        <f t="shared" si="15"/>
        <v>3.0332387807400183</v>
      </c>
    </row>
    <row r="185" spans="1:21" s="62" customFormat="1" ht="18">
      <c r="A185" s="64" t="s">
        <v>71</v>
      </c>
      <c r="B185" s="65">
        <v>632953.3</v>
      </c>
      <c r="C185" s="65">
        <v>519186.5</v>
      </c>
      <c r="D185" s="65">
        <v>26307.199999999997</v>
      </c>
      <c r="E185" s="65">
        <v>9284.1</v>
      </c>
      <c r="F185" s="65">
        <v>7890</v>
      </c>
      <c r="G185" s="65">
        <v>11.7</v>
      </c>
      <c r="H185" s="67">
        <v>45515.5</v>
      </c>
      <c r="I185" s="65">
        <f t="shared" si="16"/>
        <v>1241148.2999999998</v>
      </c>
      <c r="J185" s="73">
        <v>-202019.69999999995</v>
      </c>
      <c r="K185" s="65">
        <v>680630.8</v>
      </c>
      <c r="L185" s="69">
        <v>603572.8</v>
      </c>
      <c r="M185" s="69">
        <v>0</v>
      </c>
      <c r="N185" s="65">
        <v>20</v>
      </c>
      <c r="O185" s="70"/>
      <c r="P185" s="65">
        <v>42995.9</v>
      </c>
      <c r="Q185" s="69" t="s">
        <v>4</v>
      </c>
      <c r="R185" s="72">
        <v>115948.50000000001</v>
      </c>
      <c r="S185" s="65">
        <f t="shared" si="13"/>
        <v>1241148.3</v>
      </c>
      <c r="T185" s="65">
        <v>4300465.633333334</v>
      </c>
      <c r="U185" s="65">
        <f t="shared" si="15"/>
        <v>3.4649087730558343</v>
      </c>
    </row>
    <row r="186" spans="1:21" s="62" customFormat="1" ht="18">
      <c r="A186" s="64" t="s">
        <v>72</v>
      </c>
      <c r="B186" s="65">
        <v>674447.9</v>
      </c>
      <c r="C186" s="65">
        <v>371789.60000000003</v>
      </c>
      <c r="D186" s="65">
        <v>17546.800000000003</v>
      </c>
      <c r="E186" s="65">
        <v>11924.7</v>
      </c>
      <c r="F186" s="65">
        <v>5662.5</v>
      </c>
      <c r="G186" s="65">
        <v>14.5</v>
      </c>
      <c r="H186" s="67">
        <v>56632.399999999994</v>
      </c>
      <c r="I186" s="65">
        <f t="shared" si="16"/>
        <v>1138018.4000000001</v>
      </c>
      <c r="J186" s="73">
        <v>-252046.90000000002</v>
      </c>
      <c r="K186" s="65">
        <v>689619</v>
      </c>
      <c r="L186" s="69">
        <v>556219.9</v>
      </c>
      <c r="M186" s="69">
        <v>0</v>
      </c>
      <c r="N186" s="65">
        <v>20</v>
      </c>
      <c r="O186" s="70"/>
      <c r="P186" s="65">
        <v>47379.7</v>
      </c>
      <c r="Q186" s="69" t="s">
        <v>4</v>
      </c>
      <c r="R186" s="72">
        <v>96826.7</v>
      </c>
      <c r="S186" s="65">
        <f t="shared" si="13"/>
        <v>1138018.4</v>
      </c>
      <c r="T186" s="65">
        <v>4512504.700000001</v>
      </c>
      <c r="U186" s="65">
        <f t="shared" si="15"/>
        <v>3.9652299997961373</v>
      </c>
    </row>
    <row r="187" spans="1:21" s="62" customFormat="1" ht="18">
      <c r="A187" s="64" t="s">
        <v>74</v>
      </c>
      <c r="B187" s="65">
        <v>632786.1</v>
      </c>
      <c r="C187" s="65">
        <v>360990.8</v>
      </c>
      <c r="D187" s="65">
        <v>26737.4</v>
      </c>
      <c r="E187" s="65">
        <v>10126.2</v>
      </c>
      <c r="F187" s="65">
        <v>29169</v>
      </c>
      <c r="G187" s="65">
        <v>24.4</v>
      </c>
      <c r="H187" s="67">
        <v>62939.8</v>
      </c>
      <c r="I187" s="65">
        <v>1122773.6999999997</v>
      </c>
      <c r="J187" s="73">
        <v>-301583.4</v>
      </c>
      <c r="K187" s="65">
        <v>759931.9999999999</v>
      </c>
      <c r="L187" s="69">
        <v>547022.9</v>
      </c>
      <c r="M187" s="69">
        <v>1448</v>
      </c>
      <c r="N187" s="65">
        <v>20</v>
      </c>
      <c r="O187" s="70"/>
      <c r="P187" s="65">
        <v>49312.2</v>
      </c>
      <c r="Q187" s="69" t="s">
        <v>4</v>
      </c>
      <c r="R187" s="72">
        <v>66622</v>
      </c>
      <c r="S187" s="65">
        <v>1122773.6999999997</v>
      </c>
      <c r="T187" s="65">
        <v>4540657.133333334</v>
      </c>
      <c r="U187" s="65">
        <v>4.04414276299252</v>
      </c>
    </row>
    <row r="188" spans="1:21" s="62" customFormat="1" ht="18">
      <c r="A188" s="64" t="s">
        <v>73</v>
      </c>
      <c r="B188" s="65">
        <v>651235.5</v>
      </c>
      <c r="C188" s="65">
        <v>337694.60000000003</v>
      </c>
      <c r="D188" s="65">
        <v>30667.899999999998</v>
      </c>
      <c r="E188" s="65">
        <v>10532.8</v>
      </c>
      <c r="F188" s="65">
        <v>43190.8</v>
      </c>
      <c r="G188" s="65">
        <v>24.7</v>
      </c>
      <c r="H188" s="67">
        <v>64801.9</v>
      </c>
      <c r="I188" s="65">
        <v>1138148.2</v>
      </c>
      <c r="J188" s="73">
        <v>-308320.4</v>
      </c>
      <c r="K188" s="65">
        <v>794081.3999999999</v>
      </c>
      <c r="L188" s="69">
        <v>525226</v>
      </c>
      <c r="M188" s="69">
        <v>0</v>
      </c>
      <c r="N188" s="65">
        <v>20</v>
      </c>
      <c r="O188" s="70"/>
      <c r="P188" s="65">
        <v>51082.5</v>
      </c>
      <c r="Q188" s="69">
        <v>0</v>
      </c>
      <c r="R188" s="72">
        <v>76058.70000000001</v>
      </c>
      <c r="S188" s="65">
        <v>1138148.1999999997</v>
      </c>
      <c r="T188" s="65">
        <v>4532151.066666666</v>
      </c>
      <c r="U188" s="65">
        <v>3.9820394801544006</v>
      </c>
    </row>
    <row r="189" spans="1:21" s="62" customFormat="1" ht="18">
      <c r="A189" s="64" t="s">
        <v>75</v>
      </c>
      <c r="B189" s="65">
        <v>662739</v>
      </c>
      <c r="C189" s="65">
        <v>254040.2</v>
      </c>
      <c r="D189" s="65">
        <v>29320.4</v>
      </c>
      <c r="E189" s="65">
        <v>6846.4</v>
      </c>
      <c r="F189" s="65">
        <v>9081.2</v>
      </c>
      <c r="G189" s="65">
        <v>34.5</v>
      </c>
      <c r="H189" s="67">
        <v>57093.600000000006</v>
      </c>
      <c r="I189" s="65">
        <v>1019155.3</v>
      </c>
      <c r="J189" s="73">
        <v>-280639.7</v>
      </c>
      <c r="K189" s="65">
        <v>681001.8999999999</v>
      </c>
      <c r="L189" s="69">
        <v>469826</v>
      </c>
      <c r="M189" s="69">
        <v>0</v>
      </c>
      <c r="N189" s="65">
        <v>20</v>
      </c>
      <c r="O189" s="70"/>
      <c r="P189" s="65">
        <v>51542.7</v>
      </c>
      <c r="Q189" s="69">
        <v>0</v>
      </c>
      <c r="R189" s="72">
        <v>97404.4</v>
      </c>
      <c r="S189" s="65">
        <v>1019155.3</v>
      </c>
      <c r="T189" s="65">
        <v>4486042.6</v>
      </c>
      <c r="U189" s="65">
        <v>4.401726213855729</v>
      </c>
    </row>
    <row r="190" spans="1:21" s="62" customFormat="1" ht="18">
      <c r="A190" s="64" t="s">
        <v>76</v>
      </c>
      <c r="B190" s="65">
        <v>670899</v>
      </c>
      <c r="C190" s="65">
        <v>263317.8</v>
      </c>
      <c r="D190" s="65">
        <v>35340.4</v>
      </c>
      <c r="E190" s="65">
        <v>6979.6</v>
      </c>
      <c r="F190" s="65">
        <v>48387.8</v>
      </c>
      <c r="G190" s="65">
        <v>40.2</v>
      </c>
      <c r="H190" s="67">
        <v>107488.4</v>
      </c>
      <c r="I190" s="65">
        <v>1132453.2</v>
      </c>
      <c r="J190" s="73">
        <v>-379010.1</v>
      </c>
      <c r="K190" s="65">
        <v>809333.6000000001</v>
      </c>
      <c r="L190" s="69">
        <v>524666</v>
      </c>
      <c r="M190" s="69">
        <v>0</v>
      </c>
      <c r="N190" s="65">
        <v>20</v>
      </c>
      <c r="O190" s="70"/>
      <c r="P190" s="65">
        <v>52149.799999999996</v>
      </c>
      <c r="Q190" s="69">
        <v>0</v>
      </c>
      <c r="R190" s="72">
        <v>125293.89999999998</v>
      </c>
      <c r="S190" s="65">
        <v>1132453.2000000002</v>
      </c>
      <c r="T190" s="65">
        <v>4676539.466666667</v>
      </c>
      <c r="U190" s="65">
        <v>4.1295653247892865</v>
      </c>
    </row>
    <row r="191" spans="1:21" s="62" customFormat="1" ht="18">
      <c r="A191" s="64" t="s">
        <v>77</v>
      </c>
      <c r="B191" s="65">
        <v>680490.1</v>
      </c>
      <c r="C191" s="65">
        <v>357753</v>
      </c>
      <c r="D191" s="65">
        <v>19510.899999999998</v>
      </c>
      <c r="E191" s="65">
        <v>7009.7</v>
      </c>
      <c r="F191" s="65">
        <v>37372.4</v>
      </c>
      <c r="G191" s="65">
        <v>40.6</v>
      </c>
      <c r="H191" s="67">
        <v>84885.2</v>
      </c>
      <c r="I191" s="65">
        <v>1187061.9</v>
      </c>
      <c r="J191" s="73">
        <v>-598429.6000000001</v>
      </c>
      <c r="K191" s="65">
        <v>747948.7999999999</v>
      </c>
      <c r="L191" s="69">
        <v>586086</v>
      </c>
      <c r="M191" s="69">
        <v>0</v>
      </c>
      <c r="N191" s="65">
        <v>20</v>
      </c>
      <c r="O191" s="70"/>
      <c r="P191" s="65">
        <v>52395.9</v>
      </c>
      <c r="Q191" s="69">
        <v>0</v>
      </c>
      <c r="R191" s="72">
        <v>399040.8</v>
      </c>
      <c r="S191" s="65">
        <v>1187061.9</v>
      </c>
      <c r="T191" s="65">
        <v>4825584.633333334</v>
      </c>
      <c r="U191" s="65">
        <v>4.065149958341123</v>
      </c>
    </row>
    <row r="192" spans="1:21" s="62" customFormat="1" ht="18">
      <c r="A192" s="64" t="s">
        <v>78</v>
      </c>
      <c r="B192" s="65">
        <v>562287.5</v>
      </c>
      <c r="C192" s="65">
        <v>468790.4</v>
      </c>
      <c r="D192" s="65">
        <v>26582.4</v>
      </c>
      <c r="E192" s="65">
        <v>5294.2</v>
      </c>
      <c r="F192" s="65">
        <v>58474.1</v>
      </c>
      <c r="G192" s="65">
        <v>2.4</v>
      </c>
      <c r="H192" s="67">
        <v>130820.5</v>
      </c>
      <c r="I192" s="65">
        <v>1252251.5</v>
      </c>
      <c r="J192" s="73">
        <v>-532892</v>
      </c>
      <c r="K192" s="65">
        <v>849738.1000000001</v>
      </c>
      <c r="L192" s="69">
        <v>484489.2</v>
      </c>
      <c r="M192" s="69">
        <v>0</v>
      </c>
      <c r="N192" s="65">
        <v>20</v>
      </c>
      <c r="O192" s="70"/>
      <c r="P192" s="65">
        <v>52773.9</v>
      </c>
      <c r="Q192" s="69">
        <v>0</v>
      </c>
      <c r="R192" s="72">
        <v>398122.29999999993</v>
      </c>
      <c r="S192" s="65">
        <v>1252251.5</v>
      </c>
      <c r="T192" s="65">
        <v>4921466.699999999</v>
      </c>
      <c r="U192" s="65">
        <v>3.93009447383373</v>
      </c>
    </row>
    <row r="193" spans="1:21" s="62" customFormat="1" ht="18">
      <c r="A193" s="64" t="s">
        <v>79</v>
      </c>
      <c r="B193" s="65">
        <v>648039.2</v>
      </c>
      <c r="C193" s="65">
        <v>396335.9</v>
      </c>
      <c r="D193" s="65">
        <v>30597</v>
      </c>
      <c r="E193" s="65">
        <v>13152.6</v>
      </c>
      <c r="F193" s="65">
        <v>45886.8</v>
      </c>
      <c r="G193" s="65">
        <v>2.4</v>
      </c>
      <c r="H193" s="67">
        <v>88184.8</v>
      </c>
      <c r="I193" s="65">
        <v>1222198.7</v>
      </c>
      <c r="J193" s="73">
        <v>-588761.5</v>
      </c>
      <c r="K193" s="65">
        <v>706683.3999999999</v>
      </c>
      <c r="L193" s="69">
        <v>575334.2000000001</v>
      </c>
      <c r="M193" s="69">
        <v>0</v>
      </c>
      <c r="N193" s="65">
        <v>20</v>
      </c>
      <c r="O193" s="70"/>
      <c r="P193" s="65">
        <v>53300.799999999996</v>
      </c>
      <c r="Q193" s="69">
        <v>0</v>
      </c>
      <c r="R193" s="72">
        <v>475621.80000000005</v>
      </c>
      <c r="S193" s="65">
        <v>1222198.7000000002</v>
      </c>
      <c r="T193" s="65">
        <v>4942672.366666666</v>
      </c>
      <c r="U193" s="65">
        <v>4.044082493842176</v>
      </c>
    </row>
    <row r="194" spans="1:21" s="62" customFormat="1" ht="18">
      <c r="A194" s="64" t="s">
        <v>80</v>
      </c>
      <c r="B194" s="65">
        <v>654947.4</v>
      </c>
      <c r="C194" s="65">
        <v>398670.7</v>
      </c>
      <c r="D194" s="65">
        <v>37450.799999999996</v>
      </c>
      <c r="E194" s="65">
        <v>10138</v>
      </c>
      <c r="F194" s="65">
        <v>51723.2</v>
      </c>
      <c r="G194" s="65">
        <v>56.8</v>
      </c>
      <c r="H194" s="67">
        <v>84569.40000000001</v>
      </c>
      <c r="I194" s="65">
        <v>1237556.3000000003</v>
      </c>
      <c r="J194" s="73">
        <v>-734549.4</v>
      </c>
      <c r="K194" s="65">
        <v>840012.7</v>
      </c>
      <c r="L194" s="69">
        <v>603721.7000000001</v>
      </c>
      <c r="M194" s="69">
        <v>0</v>
      </c>
      <c r="N194" s="65">
        <v>20</v>
      </c>
      <c r="O194" s="70"/>
      <c r="P194" s="65">
        <v>54085.6</v>
      </c>
      <c r="Q194" s="69">
        <v>0</v>
      </c>
      <c r="R194" s="72">
        <v>474265.70000000007</v>
      </c>
      <c r="S194" s="65">
        <v>1237556.2999999998</v>
      </c>
      <c r="T194" s="65">
        <v>4919784.133333335</v>
      </c>
      <c r="U194" s="65">
        <v>3.9754022773213094</v>
      </c>
    </row>
    <row r="195" spans="1:21" s="62" customFormat="1" ht="18">
      <c r="A195" s="64" t="s">
        <v>81</v>
      </c>
      <c r="B195" s="65">
        <v>654947.4</v>
      </c>
      <c r="C195" s="65">
        <v>443111.5</v>
      </c>
      <c r="D195" s="65">
        <v>36145.8</v>
      </c>
      <c r="E195" s="65">
        <v>9531.5</v>
      </c>
      <c r="F195" s="65">
        <v>73920.8</v>
      </c>
      <c r="G195" s="65">
        <v>2.4</v>
      </c>
      <c r="H195" s="67">
        <v>81261.1</v>
      </c>
      <c r="I195" s="65">
        <v>1298920.5</v>
      </c>
      <c r="J195" s="73">
        <v>-701824.7</v>
      </c>
      <c r="K195" s="65">
        <v>983183.5</v>
      </c>
      <c r="L195" s="69">
        <v>603721.7000000001</v>
      </c>
      <c r="M195" s="69">
        <v>0</v>
      </c>
      <c r="N195" s="65">
        <v>20</v>
      </c>
      <c r="O195" s="70"/>
      <c r="P195" s="65">
        <v>54085.6</v>
      </c>
      <c r="Q195" s="69">
        <v>0</v>
      </c>
      <c r="R195" s="72">
        <v>359734.3999999999</v>
      </c>
      <c r="S195" s="65">
        <v>1298920.5</v>
      </c>
      <c r="T195" s="65">
        <v>5061379.300000001</v>
      </c>
      <c r="U195" s="65">
        <v>3.896604372630966</v>
      </c>
    </row>
    <row r="196" spans="1:21" s="62" customFormat="1" ht="18">
      <c r="A196" s="64" t="s">
        <v>82</v>
      </c>
      <c r="B196" s="65">
        <v>679771.8</v>
      </c>
      <c r="C196" s="65">
        <v>480231</v>
      </c>
      <c r="D196" s="65">
        <v>34034.2</v>
      </c>
      <c r="E196" s="65">
        <v>8349.9</v>
      </c>
      <c r="F196" s="65">
        <v>118065.5</v>
      </c>
      <c r="G196" s="65">
        <v>0.6</v>
      </c>
      <c r="H196" s="67">
        <v>76821.4</v>
      </c>
      <c r="I196" s="65">
        <v>1397274.4000000001</v>
      </c>
      <c r="J196" s="73">
        <v>-656014.7</v>
      </c>
      <c r="K196" s="65">
        <v>899462.2000000002</v>
      </c>
      <c r="L196" s="69">
        <v>655925.4</v>
      </c>
      <c r="M196" s="69">
        <v>0</v>
      </c>
      <c r="N196" s="65">
        <v>20</v>
      </c>
      <c r="O196" s="70"/>
      <c r="P196" s="65">
        <v>57892</v>
      </c>
      <c r="Q196" s="69">
        <v>0</v>
      </c>
      <c r="R196" s="72">
        <v>439989.5</v>
      </c>
      <c r="S196" s="65">
        <v>1397274.4000000001</v>
      </c>
      <c r="T196" s="65">
        <v>5175281</v>
      </c>
      <c r="U196" s="65">
        <v>3.7038401333338675</v>
      </c>
    </row>
    <row r="197" spans="1:21" s="62" customFormat="1" ht="18">
      <c r="A197" s="64" t="s">
        <v>83</v>
      </c>
      <c r="B197" s="65">
        <v>680076.3</v>
      </c>
      <c r="C197" s="65">
        <v>489198.4</v>
      </c>
      <c r="D197" s="65">
        <v>31706.2</v>
      </c>
      <c r="E197" s="65">
        <v>7226.9</v>
      </c>
      <c r="F197" s="65">
        <v>102224.9</v>
      </c>
      <c r="G197" s="65">
        <v>0.6</v>
      </c>
      <c r="H197" s="67">
        <v>88617.70000000001</v>
      </c>
      <c r="I197" s="65">
        <v>1399051.0000000002</v>
      </c>
      <c r="J197" s="73">
        <v>-561245.5</v>
      </c>
      <c r="K197" s="65">
        <v>814632.6000000001</v>
      </c>
      <c r="L197" s="69">
        <v>673461.8</v>
      </c>
      <c r="M197" s="69">
        <v>0</v>
      </c>
      <c r="N197" s="65">
        <v>20</v>
      </c>
      <c r="O197" s="70"/>
      <c r="P197" s="65">
        <v>60371.7</v>
      </c>
      <c r="Q197" s="69">
        <v>0</v>
      </c>
      <c r="R197" s="72">
        <v>411810.4</v>
      </c>
      <c r="S197" s="65">
        <v>1399051.0000000002</v>
      </c>
      <c r="T197" s="65">
        <v>5120631.6</v>
      </c>
      <c r="U197" s="65">
        <v>3.6600750079875564</v>
      </c>
    </row>
    <row r="198" spans="1:21" s="62" customFormat="1" ht="18">
      <c r="A198" s="64" t="s">
        <v>86</v>
      </c>
      <c r="B198" s="65">
        <v>734642.4</v>
      </c>
      <c r="C198" s="65">
        <v>478326.9</v>
      </c>
      <c r="D198" s="65">
        <v>31283.7</v>
      </c>
      <c r="E198" s="65">
        <v>5436.4</v>
      </c>
      <c r="F198" s="65">
        <v>76288.8</v>
      </c>
      <c r="G198" s="65">
        <v>0.6</v>
      </c>
      <c r="H198" s="67">
        <v>90891.9</v>
      </c>
      <c r="I198" s="65">
        <v>1416870.7</v>
      </c>
      <c r="J198" s="73">
        <v>-651113.6000000001</v>
      </c>
      <c r="K198" s="65">
        <v>977822.6</v>
      </c>
      <c r="L198" s="69">
        <v>603094.4</v>
      </c>
      <c r="M198" s="69">
        <v>0</v>
      </c>
      <c r="N198" s="65">
        <v>20</v>
      </c>
      <c r="O198" s="70"/>
      <c r="P198" s="65">
        <v>60963.2</v>
      </c>
      <c r="Q198" s="69">
        <v>0</v>
      </c>
      <c r="R198" s="72">
        <v>426084.1</v>
      </c>
      <c r="S198" s="65">
        <v>1416870.6999999997</v>
      </c>
      <c r="T198" s="65">
        <v>5209781.899999999</v>
      </c>
      <c r="U198" s="65">
        <v>3.6769635366162907</v>
      </c>
    </row>
    <row r="199" spans="1:21" s="62" customFormat="1" ht="18">
      <c r="A199" s="64" t="s">
        <v>89</v>
      </c>
      <c r="B199" s="65">
        <v>716753.9</v>
      </c>
      <c r="C199" s="65">
        <v>446405.3</v>
      </c>
      <c r="D199" s="65">
        <v>32420.4</v>
      </c>
      <c r="E199" s="65">
        <v>5080.9</v>
      </c>
      <c r="F199" s="65">
        <v>68964.3</v>
      </c>
      <c r="G199" s="65">
        <v>0.6</v>
      </c>
      <c r="H199" s="67">
        <v>89971.7</v>
      </c>
      <c r="I199" s="65">
        <v>1359597.1</v>
      </c>
      <c r="J199" s="73">
        <v>-620627.1000000001</v>
      </c>
      <c r="K199" s="65">
        <v>875367.0999999999</v>
      </c>
      <c r="L199" s="69">
        <v>596154.4</v>
      </c>
      <c r="M199" s="69">
        <v>0</v>
      </c>
      <c r="N199" s="65">
        <v>20</v>
      </c>
      <c r="O199" s="70"/>
      <c r="P199" s="65">
        <v>61389.2</v>
      </c>
      <c r="Q199" s="69">
        <v>0</v>
      </c>
      <c r="R199" s="72">
        <v>447293.5</v>
      </c>
      <c r="S199" s="65">
        <v>1359597.0999999999</v>
      </c>
      <c r="T199" s="65">
        <v>5168617.499999999</v>
      </c>
      <c r="U199" s="65">
        <v>3.8015802622703436</v>
      </c>
    </row>
    <row r="200" spans="1:21" s="62" customFormat="1" ht="15.75">
      <c r="A200" s="87"/>
      <c r="B200" s="88"/>
      <c r="C200" s="88"/>
      <c r="D200" s="88"/>
      <c r="E200" s="88"/>
      <c r="F200" s="88"/>
      <c r="G200" s="88"/>
      <c r="H200" s="89"/>
      <c r="I200" s="88"/>
      <c r="J200" s="90"/>
      <c r="K200" s="88"/>
      <c r="L200" s="91"/>
      <c r="M200" s="91"/>
      <c r="N200" s="88"/>
      <c r="O200" s="92"/>
      <c r="P200" s="88"/>
      <c r="Q200" s="91"/>
      <c r="R200" s="93"/>
      <c r="S200" s="88"/>
      <c r="T200" s="88"/>
      <c r="U200" s="94"/>
    </row>
    <row r="201" spans="1:21" s="62" customFormat="1" ht="23.25" customHeight="1">
      <c r="A201" s="95" t="s">
        <v>5</v>
      </c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7"/>
    </row>
    <row r="202" spans="1:21" s="62" customFormat="1" ht="15.75">
      <c r="A202" s="84"/>
      <c r="B202" s="84"/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</row>
  </sheetData>
  <sheetProtection/>
  <mergeCells count="7">
    <mergeCell ref="A201:U201"/>
    <mergeCell ref="A3:U3"/>
    <mergeCell ref="B5:I5"/>
    <mergeCell ref="J5:S5"/>
    <mergeCell ref="T5:T6"/>
    <mergeCell ref="U5:U6"/>
    <mergeCell ref="A5:A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0"/>
  <sheetViews>
    <sheetView zoomScalePageLayoutView="0" workbookViewId="0" topLeftCell="A1">
      <pane xSplit="1" ySplit="5" topLeftCell="R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9" sqref="B69:U69"/>
    </sheetView>
  </sheetViews>
  <sheetFormatPr defaultColWidth="8.88671875" defaultRowHeight="15.75"/>
  <cols>
    <col min="1" max="1" width="24.99609375" style="40" bestFit="1" customWidth="1"/>
    <col min="2" max="2" width="37.88671875" style="40" customWidth="1"/>
    <col min="3" max="3" width="11.6640625" style="40" bestFit="1" customWidth="1"/>
    <col min="4" max="4" width="25.10546875" style="40" bestFit="1" customWidth="1"/>
    <col min="5" max="5" width="14.3359375" style="40" customWidth="1"/>
    <col min="6" max="6" width="13.10546875" style="40" customWidth="1"/>
    <col min="7" max="7" width="16.4453125" style="40" customWidth="1"/>
    <col min="8" max="9" width="11.6640625" style="40" bestFit="1" customWidth="1"/>
    <col min="10" max="10" width="11.5546875" style="40" customWidth="1"/>
    <col min="11" max="11" width="12.5546875" style="40" customWidth="1"/>
    <col min="12" max="12" width="13.10546875" style="40" customWidth="1"/>
    <col min="13" max="13" width="15.10546875" style="40" customWidth="1"/>
    <col min="14" max="14" width="13.3359375" style="40" customWidth="1"/>
    <col min="15" max="15" width="14.6640625" style="40" customWidth="1"/>
    <col min="16" max="19" width="11.6640625" style="40" bestFit="1" customWidth="1"/>
    <col min="20" max="20" width="11.99609375" style="40" customWidth="1"/>
    <col min="21" max="21" width="18.77734375" style="40" customWidth="1"/>
    <col min="22" max="16384" width="8.88671875" style="4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ht="18.75">
      <c r="A2" s="98" t="s">
        <v>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1:2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102" t="s">
        <v>43</v>
      </c>
      <c r="B4" s="101" t="s">
        <v>1</v>
      </c>
      <c r="C4" s="101"/>
      <c r="D4" s="101"/>
      <c r="E4" s="101"/>
      <c r="F4" s="101"/>
      <c r="G4" s="101"/>
      <c r="H4" s="101"/>
      <c r="I4" s="101"/>
      <c r="J4" s="101" t="s">
        <v>2</v>
      </c>
      <c r="K4" s="101"/>
      <c r="L4" s="101"/>
      <c r="M4" s="101"/>
      <c r="N4" s="101"/>
      <c r="O4" s="101"/>
      <c r="P4" s="101"/>
      <c r="Q4" s="101"/>
      <c r="R4" s="101"/>
      <c r="S4" s="101"/>
      <c r="T4" s="104" t="s">
        <v>19</v>
      </c>
      <c r="U4" s="101" t="s">
        <v>20</v>
      </c>
    </row>
    <row r="5" spans="1:21" ht="75">
      <c r="A5" s="103"/>
      <c r="B5" s="74" t="s">
        <v>47</v>
      </c>
      <c r="C5" s="74" t="s">
        <v>41</v>
      </c>
      <c r="D5" s="75" t="s">
        <v>42</v>
      </c>
      <c r="E5" s="74" t="s">
        <v>46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8" t="s">
        <v>21</v>
      </c>
      <c r="T5" s="104"/>
      <c r="U5" s="101"/>
    </row>
    <row r="6" spans="1:21" s="62" customFormat="1" ht="15.75">
      <c r="A6" s="64">
        <v>39508</v>
      </c>
      <c r="B6" s="65">
        <v>89739.6</v>
      </c>
      <c r="C6" s="65">
        <v>23461.300000000003</v>
      </c>
      <c r="D6" s="66" t="s">
        <v>4</v>
      </c>
      <c r="E6" s="65">
        <v>1391.6999999999998</v>
      </c>
      <c r="F6" s="65">
        <v>1864.2</v>
      </c>
      <c r="G6" s="65">
        <v>340.6</v>
      </c>
      <c r="H6" s="67">
        <v>2050.2999999999997</v>
      </c>
      <c r="I6" s="65">
        <f aca="true" t="shared" si="0" ref="I6:I26">SUM(B6:H6)</f>
        <v>118847.70000000001</v>
      </c>
      <c r="J6" s="68">
        <v>60403.49999999994</v>
      </c>
      <c r="K6" s="65">
        <v>107776.49999999999</v>
      </c>
      <c r="L6" s="69">
        <v>1000</v>
      </c>
      <c r="M6" s="65">
        <v>380.9</v>
      </c>
      <c r="N6" s="65">
        <v>25</v>
      </c>
      <c r="O6" s="70" t="s">
        <v>4</v>
      </c>
      <c r="P6" s="65">
        <v>3931.7999999999997</v>
      </c>
      <c r="Q6" s="71">
        <v>-3000</v>
      </c>
      <c r="R6" s="72">
        <v>-51669.99999999999</v>
      </c>
      <c r="S6" s="65">
        <f aca="true" t="shared" si="1" ref="S6:S26">SUM(J6:R6)</f>
        <v>118847.69999999992</v>
      </c>
      <c r="T6" s="65">
        <v>398263.2</v>
      </c>
      <c r="U6" s="65">
        <f aca="true" t="shared" si="2" ref="U6:U26">T6/I6</f>
        <v>3.3510383457147253</v>
      </c>
    </row>
    <row r="7" spans="1:21" s="62" customFormat="1" ht="15.75">
      <c r="A7" s="64">
        <v>39600</v>
      </c>
      <c r="B7" s="65">
        <v>109147.9</v>
      </c>
      <c r="C7" s="65">
        <v>18877.9</v>
      </c>
      <c r="D7" s="66" t="s">
        <v>4</v>
      </c>
      <c r="E7" s="65">
        <v>1506.9</v>
      </c>
      <c r="F7" s="65">
        <v>4287.1</v>
      </c>
      <c r="G7" s="65">
        <v>490.1</v>
      </c>
      <c r="H7" s="67">
        <v>1501.1</v>
      </c>
      <c r="I7" s="65">
        <f t="shared" si="0"/>
        <v>135811</v>
      </c>
      <c r="J7" s="68">
        <v>56309.5</v>
      </c>
      <c r="K7" s="65">
        <v>126345.09999999999</v>
      </c>
      <c r="L7" s="69">
        <v>1474.9</v>
      </c>
      <c r="M7" s="65">
        <v>380.9</v>
      </c>
      <c r="N7" s="65">
        <v>25</v>
      </c>
      <c r="O7" s="70" t="s">
        <v>4</v>
      </c>
      <c r="P7" s="65">
        <v>4127.7</v>
      </c>
      <c r="Q7" s="71" t="s">
        <v>4</v>
      </c>
      <c r="R7" s="72">
        <v>-52852.100000000006</v>
      </c>
      <c r="S7" s="65">
        <f t="shared" si="1"/>
        <v>135810.99999999997</v>
      </c>
      <c r="T7" s="65">
        <v>406650.7</v>
      </c>
      <c r="U7" s="65">
        <f t="shared" si="2"/>
        <v>2.994239789118702</v>
      </c>
    </row>
    <row r="8" spans="1:21" s="62" customFormat="1" ht="15.75">
      <c r="A8" s="64">
        <v>39692</v>
      </c>
      <c r="B8" s="65">
        <v>123002.6</v>
      </c>
      <c r="C8" s="65">
        <v>17303.1</v>
      </c>
      <c r="D8" s="66" t="s">
        <v>4</v>
      </c>
      <c r="E8" s="65">
        <v>1436.6</v>
      </c>
      <c r="F8" s="65">
        <v>2300</v>
      </c>
      <c r="G8" s="65">
        <v>256.1</v>
      </c>
      <c r="H8" s="67">
        <v>2635.2</v>
      </c>
      <c r="I8" s="65">
        <f t="shared" si="0"/>
        <v>146933.60000000003</v>
      </c>
      <c r="J8" s="68">
        <v>75833.29999999996</v>
      </c>
      <c r="K8" s="65">
        <v>107112.1</v>
      </c>
      <c r="L8" s="69">
        <v>10622.1</v>
      </c>
      <c r="M8" s="65">
        <v>380.9</v>
      </c>
      <c r="N8" s="65">
        <v>25</v>
      </c>
      <c r="O8" s="70" t="s">
        <v>4</v>
      </c>
      <c r="P8" s="65">
        <v>3971.9</v>
      </c>
      <c r="Q8" s="71" t="s">
        <v>4</v>
      </c>
      <c r="R8" s="72">
        <v>-51011.7</v>
      </c>
      <c r="S8" s="65">
        <f t="shared" si="1"/>
        <v>146933.59999999998</v>
      </c>
      <c r="T8" s="65">
        <v>453036.39999999997</v>
      </c>
      <c r="U8" s="65">
        <f t="shared" si="2"/>
        <v>3.0832729886152648</v>
      </c>
    </row>
    <row r="9" spans="1:21" s="62" customFormat="1" ht="15.75">
      <c r="A9" s="64">
        <v>39783</v>
      </c>
      <c r="B9" s="65">
        <v>124230.9</v>
      </c>
      <c r="C9" s="65">
        <v>24965.9</v>
      </c>
      <c r="D9" s="66" t="s">
        <v>4</v>
      </c>
      <c r="E9" s="65">
        <v>1127</v>
      </c>
      <c r="F9" s="65">
        <v>4527.2</v>
      </c>
      <c r="G9" s="65">
        <v>56.9</v>
      </c>
      <c r="H9" s="67">
        <v>1675.3</v>
      </c>
      <c r="I9" s="65">
        <f t="shared" si="0"/>
        <v>156583.19999999998</v>
      </c>
      <c r="J9" s="68">
        <v>159092.20000000007</v>
      </c>
      <c r="K9" s="65">
        <v>76990.5</v>
      </c>
      <c r="L9" s="69" t="s">
        <v>4</v>
      </c>
      <c r="M9" s="65">
        <v>380.9</v>
      </c>
      <c r="N9" s="65">
        <v>25</v>
      </c>
      <c r="O9" s="70" t="s">
        <v>4</v>
      </c>
      <c r="P9" s="65">
        <v>3901.2000000000003</v>
      </c>
      <c r="Q9" s="71">
        <v>-12000</v>
      </c>
      <c r="R9" s="72">
        <v>-71806.6</v>
      </c>
      <c r="S9" s="65">
        <f t="shared" si="1"/>
        <v>156583.20000000007</v>
      </c>
      <c r="T9" s="65">
        <v>482598.3</v>
      </c>
      <c r="U9" s="65">
        <f t="shared" si="2"/>
        <v>3.082056695737474</v>
      </c>
    </row>
    <row r="10" spans="1:21" s="62" customFormat="1" ht="15.75">
      <c r="A10" s="64">
        <v>39873</v>
      </c>
      <c r="B10" s="65">
        <v>112651.3</v>
      </c>
      <c r="C10" s="65">
        <v>22247.699999999997</v>
      </c>
      <c r="D10" s="66" t="s">
        <v>4</v>
      </c>
      <c r="E10" s="65">
        <v>482.70000000000005</v>
      </c>
      <c r="F10" s="65">
        <v>1866.9</v>
      </c>
      <c r="G10" s="65">
        <v>232.7</v>
      </c>
      <c r="H10" s="67">
        <v>1526.3</v>
      </c>
      <c r="I10" s="65">
        <f t="shared" si="0"/>
        <v>139007.6</v>
      </c>
      <c r="J10" s="68">
        <v>105784.50000000003</v>
      </c>
      <c r="K10" s="65">
        <v>86813.2</v>
      </c>
      <c r="L10" s="69" t="s">
        <v>4</v>
      </c>
      <c r="M10" s="65">
        <v>380.9</v>
      </c>
      <c r="N10" s="65">
        <v>25</v>
      </c>
      <c r="O10" s="70" t="s">
        <v>4</v>
      </c>
      <c r="P10" s="65">
        <v>4553.5</v>
      </c>
      <c r="Q10" s="71">
        <v>-8300</v>
      </c>
      <c r="R10" s="72">
        <v>-50249.49999999999</v>
      </c>
      <c r="S10" s="65">
        <f t="shared" si="1"/>
        <v>139007.6</v>
      </c>
      <c r="T10" s="65">
        <v>471393.8999999999</v>
      </c>
      <c r="U10" s="65">
        <f t="shared" si="2"/>
        <v>3.39113760686466</v>
      </c>
    </row>
    <row r="11" spans="1:21" s="62" customFormat="1" ht="15.75">
      <c r="A11" s="64">
        <v>39965</v>
      </c>
      <c r="B11" s="65">
        <v>120665.4</v>
      </c>
      <c r="C11" s="65">
        <v>39647.5</v>
      </c>
      <c r="D11" s="66" t="s">
        <v>4</v>
      </c>
      <c r="E11" s="65">
        <v>835.8</v>
      </c>
      <c r="F11" s="65">
        <v>2826.4</v>
      </c>
      <c r="G11" s="65">
        <v>55.3</v>
      </c>
      <c r="H11" s="67">
        <v>1354.9</v>
      </c>
      <c r="I11" s="65">
        <f t="shared" si="0"/>
        <v>165385.29999999996</v>
      </c>
      <c r="J11" s="68">
        <v>148241.89999999997</v>
      </c>
      <c r="K11" s="65">
        <v>92741.8</v>
      </c>
      <c r="L11" s="69" t="s">
        <v>4</v>
      </c>
      <c r="M11" s="65">
        <v>380.9</v>
      </c>
      <c r="N11" s="65">
        <v>25</v>
      </c>
      <c r="O11" s="70" t="s">
        <v>4</v>
      </c>
      <c r="P11" s="65">
        <v>4658.5</v>
      </c>
      <c r="Q11" s="71" t="s">
        <v>4</v>
      </c>
      <c r="R11" s="72">
        <v>-80662.8</v>
      </c>
      <c r="S11" s="65">
        <f t="shared" si="1"/>
        <v>165385.29999999993</v>
      </c>
      <c r="T11" s="65">
        <v>486761.1</v>
      </c>
      <c r="U11" s="65">
        <f t="shared" si="2"/>
        <v>2.943194467706623</v>
      </c>
    </row>
    <row r="12" spans="1:21" s="62" customFormat="1" ht="15.75">
      <c r="A12" s="64">
        <v>40057</v>
      </c>
      <c r="B12" s="65">
        <v>117851.2</v>
      </c>
      <c r="C12" s="65">
        <v>36139</v>
      </c>
      <c r="D12" s="66" t="s">
        <v>4</v>
      </c>
      <c r="E12" s="65">
        <v>818.5000000000001</v>
      </c>
      <c r="F12" s="65">
        <v>2040.1</v>
      </c>
      <c r="G12" s="65">
        <v>48.6</v>
      </c>
      <c r="H12" s="67">
        <v>1353.5</v>
      </c>
      <c r="I12" s="65">
        <f t="shared" si="0"/>
        <v>158250.90000000002</v>
      </c>
      <c r="J12" s="68">
        <v>133943.70000000004</v>
      </c>
      <c r="K12" s="65">
        <v>98007.60000000002</v>
      </c>
      <c r="L12" s="69" t="s">
        <v>4</v>
      </c>
      <c r="M12" s="65">
        <v>380.9</v>
      </c>
      <c r="N12" s="65">
        <v>25</v>
      </c>
      <c r="O12" s="70" t="s">
        <v>4</v>
      </c>
      <c r="P12" s="65">
        <v>4617.699999999999</v>
      </c>
      <c r="Q12" s="71" t="s">
        <v>4</v>
      </c>
      <c r="R12" s="72">
        <v>-78724</v>
      </c>
      <c r="S12" s="65">
        <f t="shared" si="1"/>
        <v>158250.90000000005</v>
      </c>
      <c r="T12" s="65">
        <v>505926.30000000005</v>
      </c>
      <c r="U12" s="65">
        <f t="shared" si="2"/>
        <v>3.196988453146238</v>
      </c>
    </row>
    <row r="13" spans="1:21" s="62" customFormat="1" ht="15.75">
      <c r="A13" s="64">
        <v>40148</v>
      </c>
      <c r="B13" s="65">
        <v>136206.2</v>
      </c>
      <c r="C13" s="65">
        <v>53891.1</v>
      </c>
      <c r="D13" s="66" t="s">
        <v>4</v>
      </c>
      <c r="E13" s="65">
        <v>1014.1</v>
      </c>
      <c r="F13" s="65">
        <v>6100.8</v>
      </c>
      <c r="G13" s="65">
        <v>29.2</v>
      </c>
      <c r="H13" s="67">
        <v>901.8</v>
      </c>
      <c r="I13" s="65">
        <f t="shared" si="0"/>
        <v>198143.2</v>
      </c>
      <c r="J13" s="68">
        <v>144966.20000000007</v>
      </c>
      <c r="K13" s="65">
        <v>167752.20000000004</v>
      </c>
      <c r="L13" s="69" t="s">
        <v>4</v>
      </c>
      <c r="M13" s="65">
        <v>380.9</v>
      </c>
      <c r="N13" s="65">
        <v>20</v>
      </c>
      <c r="O13" s="70" t="s">
        <v>4</v>
      </c>
      <c r="P13" s="65">
        <v>4342.7</v>
      </c>
      <c r="Q13" s="71">
        <v>-10000</v>
      </c>
      <c r="R13" s="72">
        <v>-109318.79999999999</v>
      </c>
      <c r="S13" s="65">
        <f t="shared" si="1"/>
        <v>198143.2000000002</v>
      </c>
      <c r="T13" s="65">
        <v>565309.9</v>
      </c>
      <c r="U13" s="65">
        <f t="shared" si="2"/>
        <v>2.8530370964030056</v>
      </c>
    </row>
    <row r="14" spans="1:21" s="62" customFormat="1" ht="15.75">
      <c r="A14" s="64">
        <v>40238</v>
      </c>
      <c r="B14" s="65">
        <v>125349.6</v>
      </c>
      <c r="C14" s="65">
        <v>26586.199999999997</v>
      </c>
      <c r="D14" s="66" t="s">
        <v>4</v>
      </c>
      <c r="E14" s="65">
        <v>707.1</v>
      </c>
      <c r="F14" s="65">
        <v>2048.3</v>
      </c>
      <c r="G14" s="65">
        <v>77.4</v>
      </c>
      <c r="H14" s="67">
        <v>590.6</v>
      </c>
      <c r="I14" s="65">
        <f t="shared" si="0"/>
        <v>155359.19999999998</v>
      </c>
      <c r="J14" s="73">
        <v>136213.69999999992</v>
      </c>
      <c r="K14" s="65">
        <v>123302.19999999998</v>
      </c>
      <c r="L14" s="69" t="s">
        <v>4</v>
      </c>
      <c r="M14" s="65">
        <v>380.9</v>
      </c>
      <c r="N14" s="65">
        <v>20</v>
      </c>
      <c r="O14" s="70" t="s">
        <v>4</v>
      </c>
      <c r="P14" s="65">
        <v>5051.9</v>
      </c>
      <c r="Q14" s="71">
        <v>-22100</v>
      </c>
      <c r="R14" s="72">
        <v>-87509.5</v>
      </c>
      <c r="S14" s="65">
        <f t="shared" si="1"/>
        <v>155359.1999999999</v>
      </c>
      <c r="T14" s="65">
        <v>572007.5999999999</v>
      </c>
      <c r="U14" s="65">
        <f t="shared" si="2"/>
        <v>3.6818392473699655</v>
      </c>
    </row>
    <row r="15" spans="1:21" s="62" customFormat="1" ht="15.75">
      <c r="A15" s="64">
        <v>40330</v>
      </c>
      <c r="B15" s="65">
        <v>147647.5</v>
      </c>
      <c r="C15" s="65">
        <v>21971.5</v>
      </c>
      <c r="D15" s="65">
        <v>0.491</v>
      </c>
      <c r="E15" s="65">
        <v>1973</v>
      </c>
      <c r="F15" s="65">
        <v>2936</v>
      </c>
      <c r="G15" s="65">
        <v>23.6</v>
      </c>
      <c r="H15" s="67">
        <v>883.109</v>
      </c>
      <c r="I15" s="65">
        <f t="shared" si="0"/>
        <v>175435.2</v>
      </c>
      <c r="J15" s="73">
        <v>94137.99999999997</v>
      </c>
      <c r="K15" s="65">
        <v>149157.60000000003</v>
      </c>
      <c r="L15" s="69" t="s">
        <v>4</v>
      </c>
      <c r="M15" s="65">
        <v>380.9</v>
      </c>
      <c r="N15" s="65">
        <v>20</v>
      </c>
      <c r="O15" s="70" t="s">
        <v>4</v>
      </c>
      <c r="P15" s="65">
        <v>4893.7</v>
      </c>
      <c r="Q15" s="71" t="s">
        <v>4</v>
      </c>
      <c r="R15" s="72">
        <v>-73155</v>
      </c>
      <c r="S15" s="65">
        <f t="shared" si="1"/>
        <v>175435.2</v>
      </c>
      <c r="T15" s="65">
        <v>599322.1</v>
      </c>
      <c r="U15" s="65">
        <f t="shared" si="2"/>
        <v>3.416202107672804</v>
      </c>
    </row>
    <row r="16" spans="1:21" s="62" customFormat="1" ht="15.75">
      <c r="A16" s="64">
        <v>40422</v>
      </c>
      <c r="B16" s="65">
        <v>149317.2</v>
      </c>
      <c r="C16" s="65">
        <v>30479.4</v>
      </c>
      <c r="D16" s="65">
        <v>200.491</v>
      </c>
      <c r="E16" s="65">
        <v>1908.1999999999998</v>
      </c>
      <c r="F16" s="65">
        <v>1770.6000000000001</v>
      </c>
      <c r="G16" s="65">
        <v>19.4</v>
      </c>
      <c r="H16" s="67">
        <v>570.7090000000001</v>
      </c>
      <c r="I16" s="65">
        <f t="shared" si="0"/>
        <v>184266.00000000003</v>
      </c>
      <c r="J16" s="73">
        <v>69547.10000000003</v>
      </c>
      <c r="K16" s="65">
        <v>171436.9</v>
      </c>
      <c r="L16" s="69" t="s">
        <v>4</v>
      </c>
      <c r="M16" s="65">
        <v>380.9</v>
      </c>
      <c r="N16" s="65">
        <v>20</v>
      </c>
      <c r="O16" s="70" t="s">
        <v>4</v>
      </c>
      <c r="P16" s="65">
        <v>4817.199999999999</v>
      </c>
      <c r="Q16" s="71">
        <v>-2000</v>
      </c>
      <c r="R16" s="72">
        <v>-59936.100000000006</v>
      </c>
      <c r="S16" s="65">
        <f t="shared" si="1"/>
        <v>184266.00000000003</v>
      </c>
      <c r="T16" s="65">
        <v>637143.3</v>
      </c>
      <c r="U16" s="65">
        <f t="shared" si="2"/>
        <v>3.4577366415942166</v>
      </c>
    </row>
    <row r="17" spans="1:21" s="62" customFormat="1" ht="15.75">
      <c r="A17" s="64">
        <v>40513</v>
      </c>
      <c r="B17" s="65">
        <v>155835.2</v>
      </c>
      <c r="C17" s="65">
        <v>47450.5</v>
      </c>
      <c r="D17" s="65">
        <v>2738.884497</v>
      </c>
      <c r="E17" s="65">
        <v>1428</v>
      </c>
      <c r="F17" s="65">
        <v>3735.6</v>
      </c>
      <c r="G17" s="65">
        <v>28.6</v>
      </c>
      <c r="H17" s="67">
        <v>422.0155030000001</v>
      </c>
      <c r="I17" s="65">
        <f t="shared" si="0"/>
        <v>211638.80000000002</v>
      </c>
      <c r="J17" s="73">
        <v>141613.59999999998</v>
      </c>
      <c r="K17" s="65">
        <v>150905.3</v>
      </c>
      <c r="L17" s="69" t="s">
        <v>4</v>
      </c>
      <c r="M17" s="65">
        <v>380.9</v>
      </c>
      <c r="N17" s="65">
        <v>20</v>
      </c>
      <c r="O17" s="70" t="s">
        <v>4</v>
      </c>
      <c r="P17" s="65">
        <v>4671.999999999999</v>
      </c>
      <c r="Q17" s="71">
        <v>-7000</v>
      </c>
      <c r="R17" s="72">
        <v>-78953</v>
      </c>
      <c r="S17" s="65">
        <f t="shared" si="1"/>
        <v>211638.8</v>
      </c>
      <c r="T17" s="65">
        <v>706363.915503</v>
      </c>
      <c r="U17" s="65">
        <f t="shared" si="2"/>
        <v>3.3375917624887306</v>
      </c>
    </row>
    <row r="18" spans="1:21" s="62" customFormat="1" ht="15.75">
      <c r="A18" s="64">
        <v>40603</v>
      </c>
      <c r="B18" s="65">
        <v>149827.1</v>
      </c>
      <c r="C18" s="65">
        <v>39367.200000000004</v>
      </c>
      <c r="D18" s="65">
        <v>398.983712</v>
      </c>
      <c r="E18" s="65">
        <v>611.6</v>
      </c>
      <c r="F18" s="65">
        <v>2831.0000000000005</v>
      </c>
      <c r="G18" s="65">
        <v>92.9</v>
      </c>
      <c r="H18" s="67">
        <v>1004.016288</v>
      </c>
      <c r="I18" s="65">
        <f t="shared" si="0"/>
        <v>194132.80000000002</v>
      </c>
      <c r="J18" s="73">
        <v>143339.09999999998</v>
      </c>
      <c r="K18" s="65">
        <v>111050.6</v>
      </c>
      <c r="L18" s="65">
        <v>3410.3</v>
      </c>
      <c r="M18" s="65">
        <v>380.9</v>
      </c>
      <c r="N18" s="65">
        <v>20</v>
      </c>
      <c r="O18" s="70" t="s">
        <v>4</v>
      </c>
      <c r="P18" s="65">
        <v>5495.999999999999</v>
      </c>
      <c r="Q18" s="69">
        <v>-4500</v>
      </c>
      <c r="R18" s="72">
        <v>-65064.1</v>
      </c>
      <c r="S18" s="65">
        <f t="shared" si="1"/>
        <v>194132.79999999996</v>
      </c>
      <c r="T18" s="65">
        <v>692784.316288</v>
      </c>
      <c r="U18" s="65">
        <f t="shared" si="2"/>
        <v>3.5686103342042146</v>
      </c>
    </row>
    <row r="19" spans="1:21" s="62" customFormat="1" ht="15.75">
      <c r="A19" s="64">
        <v>40695</v>
      </c>
      <c r="B19" s="65">
        <v>172348.7</v>
      </c>
      <c r="C19" s="65">
        <v>27532.100000000002</v>
      </c>
      <c r="D19" s="65">
        <v>4490.491275</v>
      </c>
      <c r="E19" s="65">
        <v>1167.8999999999999</v>
      </c>
      <c r="F19" s="65">
        <v>4553.099999999999</v>
      </c>
      <c r="G19" s="65">
        <v>97</v>
      </c>
      <c r="H19" s="67">
        <v>801.5087249999997</v>
      </c>
      <c r="I19" s="65">
        <f t="shared" si="0"/>
        <v>210990.80000000002</v>
      </c>
      <c r="J19" s="73">
        <v>133383.10000000003</v>
      </c>
      <c r="K19" s="65">
        <v>115763.80000000005</v>
      </c>
      <c r="L19" s="65">
        <v>21978.1</v>
      </c>
      <c r="M19" s="65">
        <v>380.9</v>
      </c>
      <c r="N19" s="65">
        <v>20</v>
      </c>
      <c r="O19" s="70" t="s">
        <v>4</v>
      </c>
      <c r="P19" s="65">
        <v>5860.2</v>
      </c>
      <c r="Q19" s="69" t="s">
        <v>4</v>
      </c>
      <c r="R19" s="72">
        <v>-66395.3</v>
      </c>
      <c r="S19" s="65">
        <f t="shared" si="1"/>
        <v>210990.8000000001</v>
      </c>
      <c r="T19" s="65">
        <v>728615.808725</v>
      </c>
      <c r="U19" s="65">
        <f t="shared" si="2"/>
        <v>3.4533060622785445</v>
      </c>
    </row>
    <row r="20" spans="1:21" s="62" customFormat="1" ht="15.75">
      <c r="A20" s="64">
        <v>40787</v>
      </c>
      <c r="B20" s="65">
        <v>168466.4</v>
      </c>
      <c r="C20" s="65">
        <v>33244.3</v>
      </c>
      <c r="D20" s="65">
        <v>2484.4</v>
      </c>
      <c r="E20" s="65">
        <v>1493.8</v>
      </c>
      <c r="F20" s="65">
        <v>1412.9000000000003</v>
      </c>
      <c r="G20" s="65">
        <v>37.9</v>
      </c>
      <c r="H20" s="67">
        <v>500.5999999999999</v>
      </c>
      <c r="I20" s="65">
        <f t="shared" si="0"/>
        <v>207640.3</v>
      </c>
      <c r="J20" s="73">
        <v>81241.40000000002</v>
      </c>
      <c r="K20" s="65">
        <v>149815.80000000002</v>
      </c>
      <c r="L20" s="65">
        <v>41214.8</v>
      </c>
      <c r="M20" s="65">
        <v>380.9</v>
      </c>
      <c r="N20" s="65">
        <v>20</v>
      </c>
      <c r="O20" s="70" t="s">
        <v>4</v>
      </c>
      <c r="P20" s="65">
        <v>6248.699999999999</v>
      </c>
      <c r="Q20" s="69" t="s">
        <v>4</v>
      </c>
      <c r="R20" s="72">
        <v>-71281.3</v>
      </c>
      <c r="S20" s="65">
        <f t="shared" si="1"/>
        <v>207640.3000000001</v>
      </c>
      <c r="T20" s="65">
        <v>726660.4833333334</v>
      </c>
      <c r="U20" s="65">
        <f t="shared" si="2"/>
        <v>3.49961198925899</v>
      </c>
    </row>
    <row r="21" spans="1:21" s="62" customFormat="1" ht="15.75">
      <c r="A21" s="64">
        <v>40878</v>
      </c>
      <c r="B21" s="65">
        <v>170106</v>
      </c>
      <c r="C21" s="65">
        <v>34979.700000000004</v>
      </c>
      <c r="D21" s="65">
        <v>500</v>
      </c>
      <c r="E21" s="65">
        <v>278</v>
      </c>
      <c r="F21" s="65">
        <v>5041.499999999998</v>
      </c>
      <c r="G21" s="65">
        <v>23.6</v>
      </c>
      <c r="H21" s="67">
        <v>397.3</v>
      </c>
      <c r="I21" s="65">
        <f t="shared" si="0"/>
        <v>211326.1</v>
      </c>
      <c r="J21" s="73">
        <v>82293.99999999994</v>
      </c>
      <c r="K21" s="65">
        <v>211644.80000000005</v>
      </c>
      <c r="L21" s="65">
        <v>25301.3</v>
      </c>
      <c r="M21" s="65">
        <v>380.9</v>
      </c>
      <c r="N21" s="65">
        <v>20</v>
      </c>
      <c r="O21" s="70" t="s">
        <v>4</v>
      </c>
      <c r="P21" s="65">
        <v>6184.2</v>
      </c>
      <c r="Q21" s="69" t="s">
        <v>4</v>
      </c>
      <c r="R21" s="72">
        <v>-114499.1</v>
      </c>
      <c r="S21" s="65">
        <f t="shared" si="1"/>
        <v>211326.1</v>
      </c>
      <c r="T21" s="65">
        <v>755801.5666666665</v>
      </c>
      <c r="U21" s="65">
        <f t="shared" si="2"/>
        <v>3.576470519574565</v>
      </c>
    </row>
    <row r="22" spans="1:21" s="62" customFormat="1" ht="15.75">
      <c r="A22" s="64">
        <v>40969</v>
      </c>
      <c r="B22" s="65">
        <v>165509.4</v>
      </c>
      <c r="C22" s="65">
        <v>23200.9</v>
      </c>
      <c r="D22" s="65">
        <v>444.90000000000003</v>
      </c>
      <c r="E22" s="65">
        <v>480.40000000000003</v>
      </c>
      <c r="F22" s="65">
        <v>1503.9000000000003</v>
      </c>
      <c r="G22" s="65">
        <v>18.3</v>
      </c>
      <c r="H22" s="67">
        <v>2529.8</v>
      </c>
      <c r="I22" s="65">
        <f t="shared" si="0"/>
        <v>193687.59999999995</v>
      </c>
      <c r="J22" s="73">
        <v>67729.1000000001</v>
      </c>
      <c r="K22" s="65">
        <v>164340</v>
      </c>
      <c r="L22" s="69">
        <v>31811.4</v>
      </c>
      <c r="M22" s="69">
        <v>380.9</v>
      </c>
      <c r="N22" s="65">
        <v>20</v>
      </c>
      <c r="O22" s="70" t="s">
        <v>4</v>
      </c>
      <c r="P22" s="65">
        <v>7120.7</v>
      </c>
      <c r="Q22" s="71" t="s">
        <v>4</v>
      </c>
      <c r="R22" s="72">
        <v>-77714.5</v>
      </c>
      <c r="S22" s="65">
        <f t="shared" si="1"/>
        <v>193687.60000000015</v>
      </c>
      <c r="T22" s="65">
        <v>742473.75</v>
      </c>
      <c r="U22" s="65">
        <f t="shared" si="2"/>
        <v>3.8333571689669355</v>
      </c>
    </row>
    <row r="23" spans="1:21" s="62" customFormat="1" ht="15.75">
      <c r="A23" s="64">
        <v>41061</v>
      </c>
      <c r="B23" s="65">
        <v>183642.4</v>
      </c>
      <c r="C23" s="65">
        <v>27850.7</v>
      </c>
      <c r="D23" s="65">
        <v>989.7638159999999</v>
      </c>
      <c r="E23" s="65">
        <v>1363.6</v>
      </c>
      <c r="F23" s="65">
        <v>3705.5</v>
      </c>
      <c r="G23" s="65">
        <v>10</v>
      </c>
      <c r="H23" s="67">
        <v>373.03618400000005</v>
      </c>
      <c r="I23" s="65">
        <f t="shared" si="0"/>
        <v>217935</v>
      </c>
      <c r="J23" s="73">
        <v>49308</v>
      </c>
      <c r="K23" s="65">
        <v>186067.59999999998</v>
      </c>
      <c r="L23" s="69">
        <v>60598.8</v>
      </c>
      <c r="M23" s="69" t="s">
        <v>4</v>
      </c>
      <c r="N23" s="65">
        <v>20</v>
      </c>
      <c r="O23" s="70" t="s">
        <v>4</v>
      </c>
      <c r="P23" s="65">
        <v>7454</v>
      </c>
      <c r="Q23" s="71" t="s">
        <v>4</v>
      </c>
      <c r="R23" s="72">
        <v>-85513.4</v>
      </c>
      <c r="S23" s="65">
        <f t="shared" si="1"/>
        <v>217934.99999999997</v>
      </c>
      <c r="T23" s="65">
        <v>765737.4695173332</v>
      </c>
      <c r="U23" s="65">
        <f t="shared" si="2"/>
        <v>3.5136048340896746</v>
      </c>
    </row>
    <row r="24" spans="1:21" s="62" customFormat="1" ht="15.75">
      <c r="A24" s="64">
        <v>41153</v>
      </c>
      <c r="B24" s="65">
        <v>184428.3</v>
      </c>
      <c r="C24" s="65">
        <v>32797.5</v>
      </c>
      <c r="D24" s="65">
        <v>289.7</v>
      </c>
      <c r="E24" s="65">
        <v>1441.2</v>
      </c>
      <c r="F24" s="65">
        <v>1869.8</v>
      </c>
      <c r="G24" s="65">
        <v>12.8</v>
      </c>
      <c r="H24" s="67">
        <v>334.9</v>
      </c>
      <c r="I24" s="65">
        <f t="shared" si="0"/>
        <v>221174.19999999998</v>
      </c>
      <c r="J24" s="73">
        <v>55414.5</v>
      </c>
      <c r="K24" s="65">
        <v>208067.1</v>
      </c>
      <c r="L24" s="69">
        <v>29808.6</v>
      </c>
      <c r="M24" s="69" t="s">
        <v>4</v>
      </c>
      <c r="N24" s="65">
        <v>20</v>
      </c>
      <c r="O24" s="70" t="s">
        <v>4</v>
      </c>
      <c r="P24" s="65">
        <v>8060.7</v>
      </c>
      <c r="Q24" s="71" t="s">
        <v>4</v>
      </c>
      <c r="R24" s="72">
        <v>-80196.70000000001</v>
      </c>
      <c r="S24" s="65">
        <f t="shared" si="1"/>
        <v>221174.19999999995</v>
      </c>
      <c r="T24" s="65">
        <v>809062.7666666668</v>
      </c>
      <c r="U24" s="65">
        <f t="shared" si="2"/>
        <v>3.658034104640898</v>
      </c>
    </row>
    <row r="25" spans="1:21" s="62" customFormat="1" ht="15.75">
      <c r="A25" s="64">
        <v>41244</v>
      </c>
      <c r="B25" s="65">
        <v>198246.9</v>
      </c>
      <c r="C25" s="65">
        <v>39879.9</v>
      </c>
      <c r="D25" s="65">
        <v>22413.6</v>
      </c>
      <c r="E25" s="65">
        <v>2827.5</v>
      </c>
      <c r="F25" s="65">
        <v>3234.3</v>
      </c>
      <c r="G25" s="65">
        <v>14.5</v>
      </c>
      <c r="H25" s="67">
        <v>669.4</v>
      </c>
      <c r="I25" s="65">
        <f t="shared" si="0"/>
        <v>267286.10000000003</v>
      </c>
      <c r="J25" s="73">
        <v>66928.90000000002</v>
      </c>
      <c r="K25" s="65">
        <v>285507.4</v>
      </c>
      <c r="L25" s="69" t="s">
        <v>4</v>
      </c>
      <c r="M25" s="69" t="s">
        <v>4</v>
      </c>
      <c r="N25" s="65">
        <v>20</v>
      </c>
      <c r="O25" s="70" t="s">
        <v>4</v>
      </c>
      <c r="P25" s="65">
        <v>8125.5</v>
      </c>
      <c r="Q25" s="71">
        <v>-6800</v>
      </c>
      <c r="R25" s="72">
        <v>-86495.70000000001</v>
      </c>
      <c r="S25" s="65">
        <f t="shared" si="1"/>
        <v>267286.10000000003</v>
      </c>
      <c r="T25" s="65">
        <v>877253.3</v>
      </c>
      <c r="U25" s="65">
        <f t="shared" si="2"/>
        <v>3.282076022658866</v>
      </c>
    </row>
    <row r="26" spans="1:21" s="62" customFormat="1" ht="15.75">
      <c r="A26" s="64">
        <v>41334</v>
      </c>
      <c r="B26" s="65">
        <v>189178.2</v>
      </c>
      <c r="C26" s="65">
        <v>45758.4</v>
      </c>
      <c r="D26" s="65">
        <v>9951.2</v>
      </c>
      <c r="E26" s="65">
        <v>2115</v>
      </c>
      <c r="F26" s="65">
        <v>5247.000000000001</v>
      </c>
      <c r="G26" s="65">
        <v>70.7</v>
      </c>
      <c r="H26" s="67">
        <v>298.6</v>
      </c>
      <c r="I26" s="65">
        <f t="shared" si="0"/>
        <v>252619.10000000003</v>
      </c>
      <c r="J26" s="73">
        <v>48746.90000000008</v>
      </c>
      <c r="K26" s="65">
        <v>264998.8</v>
      </c>
      <c r="L26" s="69">
        <v>7592</v>
      </c>
      <c r="M26" s="69" t="s">
        <v>4</v>
      </c>
      <c r="N26" s="65">
        <v>20</v>
      </c>
      <c r="O26" s="70" t="s">
        <v>4</v>
      </c>
      <c r="P26" s="65">
        <v>8683.9</v>
      </c>
      <c r="Q26" s="69" t="s">
        <v>4</v>
      </c>
      <c r="R26" s="72">
        <v>-77422.5</v>
      </c>
      <c r="S26" s="65">
        <f t="shared" si="1"/>
        <v>252619.1000000001</v>
      </c>
      <c r="T26" s="65">
        <v>893897.975</v>
      </c>
      <c r="U26" s="65">
        <f t="shared" si="2"/>
        <v>3.5385209392322268</v>
      </c>
    </row>
    <row r="27" spans="1:21" s="62" customFormat="1" ht="15.75">
      <c r="A27" s="64">
        <v>41426</v>
      </c>
      <c r="B27" s="65">
        <v>205811.8</v>
      </c>
      <c r="C27" s="65">
        <v>56976.3</v>
      </c>
      <c r="D27" s="65">
        <v>7760.5</v>
      </c>
      <c r="E27" s="65">
        <v>2218.5</v>
      </c>
      <c r="F27" s="65">
        <v>7471.700000000001</v>
      </c>
      <c r="G27" s="65">
        <v>79.7</v>
      </c>
      <c r="H27" s="67">
        <v>271.5</v>
      </c>
      <c r="I27" s="65">
        <f aca="true" t="shared" si="3" ref="I27:I41">SUM(B27:H27)</f>
        <v>280590</v>
      </c>
      <c r="J27" s="73">
        <v>56965.40000000008</v>
      </c>
      <c r="K27" s="65">
        <v>273884.2</v>
      </c>
      <c r="L27" s="69" t="s">
        <v>4</v>
      </c>
      <c r="M27" s="69" t="s">
        <v>4</v>
      </c>
      <c r="N27" s="65">
        <v>20</v>
      </c>
      <c r="O27" s="70" t="s">
        <v>4</v>
      </c>
      <c r="P27" s="65">
        <v>9042.5</v>
      </c>
      <c r="Q27" s="69" t="s">
        <v>4</v>
      </c>
      <c r="R27" s="72">
        <v>-59322.100000000006</v>
      </c>
      <c r="S27" s="65">
        <f aca="true" t="shared" si="4" ref="S27:S57">SUM(J27:R27)</f>
        <v>280590.0000000001</v>
      </c>
      <c r="T27" s="65">
        <v>927922.8499999996</v>
      </c>
      <c r="U27" s="65">
        <f aca="true" t="shared" si="5" ref="U27:U52">T27/I27</f>
        <v>3.3070417691293335</v>
      </c>
    </row>
    <row r="28" spans="1:21" s="62" customFormat="1" ht="15.75">
      <c r="A28" s="64">
        <v>41518</v>
      </c>
      <c r="B28" s="65">
        <v>201031</v>
      </c>
      <c r="C28" s="65">
        <v>65670.9</v>
      </c>
      <c r="D28" s="65">
        <v>1516.7</v>
      </c>
      <c r="E28" s="65">
        <v>4193</v>
      </c>
      <c r="F28" s="65">
        <v>4666.1</v>
      </c>
      <c r="G28" s="65">
        <v>54.7</v>
      </c>
      <c r="H28" s="67">
        <v>280.2</v>
      </c>
      <c r="I28" s="65">
        <f t="shared" si="3"/>
        <v>277412.60000000003</v>
      </c>
      <c r="J28" s="73">
        <v>78410.79999999999</v>
      </c>
      <c r="K28" s="65">
        <v>243601.6</v>
      </c>
      <c r="L28" s="69">
        <v>61.3</v>
      </c>
      <c r="M28" s="69" t="s">
        <v>4</v>
      </c>
      <c r="N28" s="65">
        <v>20</v>
      </c>
      <c r="O28" s="70" t="s">
        <v>4</v>
      </c>
      <c r="P28" s="65">
        <v>9872.8</v>
      </c>
      <c r="Q28" s="69" t="s">
        <v>4</v>
      </c>
      <c r="R28" s="72">
        <v>-54553.89999999999</v>
      </c>
      <c r="S28" s="65">
        <f t="shared" si="4"/>
        <v>277412.60000000003</v>
      </c>
      <c r="T28" s="65">
        <v>956466.325</v>
      </c>
      <c r="U28" s="65">
        <f t="shared" si="5"/>
        <v>3.4478114007799205</v>
      </c>
    </row>
    <row r="29" spans="1:21" s="62" customFormat="1" ht="15.75">
      <c r="A29" s="64">
        <v>41609</v>
      </c>
      <c r="B29" s="65">
        <v>211683.7</v>
      </c>
      <c r="C29" s="65">
        <v>82710.8</v>
      </c>
      <c r="D29" s="65">
        <v>5135.8</v>
      </c>
      <c r="E29" s="65">
        <v>2674</v>
      </c>
      <c r="F29" s="65">
        <v>3566.2</v>
      </c>
      <c r="G29" s="65">
        <v>28</v>
      </c>
      <c r="H29" s="67">
        <v>787.6</v>
      </c>
      <c r="I29" s="65">
        <f t="shared" si="3"/>
        <v>306586.1</v>
      </c>
      <c r="J29" s="73">
        <v>118133.79999999999</v>
      </c>
      <c r="K29" s="65">
        <v>229473.99999999997</v>
      </c>
      <c r="L29" s="69" t="s">
        <v>4</v>
      </c>
      <c r="M29" s="69" t="s">
        <v>4</v>
      </c>
      <c r="N29" s="65">
        <v>20</v>
      </c>
      <c r="O29" s="70" t="s">
        <v>4</v>
      </c>
      <c r="P29" s="65">
        <v>10118.699999999999</v>
      </c>
      <c r="Q29" s="69" t="s">
        <v>4</v>
      </c>
      <c r="R29" s="72">
        <v>-51160.40000000001</v>
      </c>
      <c r="S29" s="65">
        <f t="shared" si="4"/>
        <v>306586.0999999999</v>
      </c>
      <c r="T29" s="65">
        <v>986748.8</v>
      </c>
      <c r="U29" s="65">
        <f t="shared" si="5"/>
        <v>3.2185046875902077</v>
      </c>
    </row>
    <row r="30" spans="1:21" s="62" customFormat="1" ht="15.75">
      <c r="A30" s="64">
        <v>41699</v>
      </c>
      <c r="B30" s="65">
        <v>201300.8</v>
      </c>
      <c r="C30" s="65">
        <v>70896.4</v>
      </c>
      <c r="D30" s="65">
        <v>426.9</v>
      </c>
      <c r="E30" s="65">
        <v>1135.9</v>
      </c>
      <c r="F30" s="65">
        <v>1041.5</v>
      </c>
      <c r="G30" s="65">
        <v>24.6</v>
      </c>
      <c r="H30" s="67">
        <v>1373.4</v>
      </c>
      <c r="I30" s="65">
        <f t="shared" si="3"/>
        <v>276199.5</v>
      </c>
      <c r="J30" s="73">
        <v>95018.6</v>
      </c>
      <c r="K30" s="65">
        <v>243395.1</v>
      </c>
      <c r="L30" s="69">
        <v>325.1</v>
      </c>
      <c r="M30" s="69">
        <v>1914.8</v>
      </c>
      <c r="N30" s="65">
        <v>20</v>
      </c>
      <c r="O30" s="70" t="s">
        <v>4</v>
      </c>
      <c r="P30" s="65">
        <v>11758.1</v>
      </c>
      <c r="Q30" s="69">
        <v>-27200</v>
      </c>
      <c r="R30" s="72">
        <v>-49032.20000000001</v>
      </c>
      <c r="S30" s="65">
        <f t="shared" si="4"/>
        <v>276199.49999999994</v>
      </c>
      <c r="T30" s="65">
        <v>988233.8499999999</v>
      </c>
      <c r="U30" s="65">
        <f t="shared" si="5"/>
        <v>3.5779711766313835</v>
      </c>
    </row>
    <row r="31" spans="1:21" s="62" customFormat="1" ht="15.75">
      <c r="A31" s="64">
        <v>41791</v>
      </c>
      <c r="B31" s="65">
        <v>223781.8</v>
      </c>
      <c r="C31" s="65">
        <v>100650</v>
      </c>
      <c r="D31" s="65">
        <v>1428.4</v>
      </c>
      <c r="E31" s="65">
        <v>1303.5</v>
      </c>
      <c r="F31" s="65">
        <v>6385</v>
      </c>
      <c r="G31" s="65">
        <v>20.2</v>
      </c>
      <c r="H31" s="67">
        <v>1329.6</v>
      </c>
      <c r="I31" s="65">
        <f t="shared" si="3"/>
        <v>334898.5</v>
      </c>
      <c r="J31" s="73">
        <v>89071.50000000003</v>
      </c>
      <c r="K31" s="65">
        <v>282645.39999999997</v>
      </c>
      <c r="L31" s="69"/>
      <c r="M31" s="69">
        <v>1914.8</v>
      </c>
      <c r="N31" s="65">
        <v>20</v>
      </c>
      <c r="O31" s="70" t="s">
        <v>4</v>
      </c>
      <c r="P31" s="65">
        <v>12500.7</v>
      </c>
      <c r="Q31" s="69" t="s">
        <v>4</v>
      </c>
      <c r="R31" s="72">
        <v>-51253.90000000001</v>
      </c>
      <c r="S31" s="65">
        <f t="shared" si="4"/>
        <v>334898.5</v>
      </c>
      <c r="T31" s="65">
        <v>1050599.4</v>
      </c>
      <c r="U31" s="65">
        <f t="shared" si="5"/>
        <v>3.137068096751702</v>
      </c>
    </row>
    <row r="32" spans="1:21" s="62" customFormat="1" ht="15.75">
      <c r="A32" s="64">
        <v>41883</v>
      </c>
      <c r="B32" s="65">
        <v>222708</v>
      </c>
      <c r="C32" s="65">
        <v>80783.1</v>
      </c>
      <c r="D32" s="65">
        <v>631.5</v>
      </c>
      <c r="E32" s="65">
        <v>2407.5</v>
      </c>
      <c r="F32" s="65">
        <v>2153.6</v>
      </c>
      <c r="G32" s="65">
        <v>23.3</v>
      </c>
      <c r="H32" s="67">
        <v>969.1</v>
      </c>
      <c r="I32" s="65">
        <f t="shared" si="3"/>
        <v>309676.0999999999</v>
      </c>
      <c r="J32" s="73">
        <v>142837.30000000002</v>
      </c>
      <c r="K32" s="65">
        <v>195393.90000000002</v>
      </c>
      <c r="L32" s="69">
        <v>231.9000000000001</v>
      </c>
      <c r="M32" s="69">
        <v>2000</v>
      </c>
      <c r="N32" s="65">
        <v>20</v>
      </c>
      <c r="O32" s="70" t="s">
        <v>4</v>
      </c>
      <c r="P32" s="65">
        <v>12409.6</v>
      </c>
      <c r="Q32" s="69" t="s">
        <v>4</v>
      </c>
      <c r="R32" s="72">
        <v>-43216.6</v>
      </c>
      <c r="S32" s="65">
        <f t="shared" si="4"/>
        <v>309676.1000000001</v>
      </c>
      <c r="T32" s="65">
        <v>1052584.2055555554</v>
      </c>
      <c r="U32" s="65">
        <f t="shared" si="5"/>
        <v>3.398984311529226</v>
      </c>
    </row>
    <row r="33" spans="1:21" s="62" customFormat="1" ht="15.75">
      <c r="A33" s="64">
        <v>41974</v>
      </c>
      <c r="B33" s="65">
        <v>227340.9</v>
      </c>
      <c r="C33" s="65">
        <v>120095.4</v>
      </c>
      <c r="D33" s="65">
        <v>1035.1</v>
      </c>
      <c r="E33" s="65">
        <v>1624.7</v>
      </c>
      <c r="F33" s="65">
        <v>3555.9</v>
      </c>
      <c r="G33" s="65">
        <v>22.9</v>
      </c>
      <c r="H33" s="67">
        <v>1326.1</v>
      </c>
      <c r="I33" s="65">
        <f t="shared" si="3"/>
        <v>355001</v>
      </c>
      <c r="J33" s="73">
        <v>128675.9</v>
      </c>
      <c r="K33" s="65">
        <v>263591.1</v>
      </c>
      <c r="L33" s="69">
        <v>0</v>
      </c>
      <c r="M33" s="69">
        <v>2000</v>
      </c>
      <c r="N33" s="65">
        <v>20</v>
      </c>
      <c r="O33" s="70" t="s">
        <v>4</v>
      </c>
      <c r="P33" s="65">
        <v>12103.3</v>
      </c>
      <c r="Q33" s="69" t="s">
        <v>4</v>
      </c>
      <c r="R33" s="72">
        <v>-51389.29999999999</v>
      </c>
      <c r="S33" s="65">
        <f t="shared" si="4"/>
        <v>355001</v>
      </c>
      <c r="T33" s="65">
        <v>1107089.4000000001</v>
      </c>
      <c r="U33" s="65">
        <f t="shared" si="5"/>
        <v>3.1185529054847736</v>
      </c>
    </row>
    <row r="34" spans="1:21" s="62" customFormat="1" ht="15.75">
      <c r="A34" s="64">
        <v>42064</v>
      </c>
      <c r="B34" s="65">
        <v>223176.6</v>
      </c>
      <c r="C34" s="65">
        <v>71767.6</v>
      </c>
      <c r="D34" s="65">
        <v>1593.8</v>
      </c>
      <c r="E34" s="65">
        <v>1878.3</v>
      </c>
      <c r="F34" s="65">
        <v>4089.8</v>
      </c>
      <c r="G34" s="65">
        <v>47.4</v>
      </c>
      <c r="H34" s="67">
        <v>243.7</v>
      </c>
      <c r="I34" s="65">
        <f t="shared" si="3"/>
        <v>302797.2</v>
      </c>
      <c r="J34" s="73">
        <v>115526.4</v>
      </c>
      <c r="K34" s="65">
        <v>215693.9</v>
      </c>
      <c r="L34" s="69">
        <v>1178.9</v>
      </c>
      <c r="M34" s="69">
        <v>2000</v>
      </c>
      <c r="N34" s="65">
        <v>20</v>
      </c>
      <c r="O34" s="70" t="s">
        <v>4</v>
      </c>
      <c r="P34" s="65">
        <v>12654.2</v>
      </c>
      <c r="Q34" s="69" t="s">
        <v>4</v>
      </c>
      <c r="R34" s="72">
        <v>-44276.2</v>
      </c>
      <c r="S34" s="65">
        <f t="shared" si="4"/>
        <v>302797.2</v>
      </c>
      <c r="T34" s="65">
        <v>1064238.65</v>
      </c>
      <c r="U34" s="65">
        <f t="shared" si="5"/>
        <v>3.5146911860479553</v>
      </c>
    </row>
    <row r="35" spans="1:21" s="62" customFormat="1" ht="15.75">
      <c r="A35" s="64">
        <v>42156</v>
      </c>
      <c r="B35" s="65">
        <v>254961.4</v>
      </c>
      <c r="C35" s="65">
        <v>63611.8</v>
      </c>
      <c r="D35" s="65">
        <v>9771.3</v>
      </c>
      <c r="E35" s="65">
        <v>2089.9</v>
      </c>
      <c r="F35" s="65">
        <v>3640.6</v>
      </c>
      <c r="G35" s="65">
        <v>62.4</v>
      </c>
      <c r="H35" s="67">
        <v>357.5</v>
      </c>
      <c r="I35" s="65">
        <f t="shared" si="3"/>
        <v>334494.9</v>
      </c>
      <c r="J35" s="73">
        <v>11927.499999999976</v>
      </c>
      <c r="K35" s="65">
        <v>318199.6</v>
      </c>
      <c r="L35" s="69">
        <v>20000</v>
      </c>
      <c r="M35" s="69">
        <v>2000</v>
      </c>
      <c r="N35" s="65">
        <v>20</v>
      </c>
      <c r="O35" s="70" t="s">
        <v>4</v>
      </c>
      <c r="P35" s="65">
        <v>13128.8</v>
      </c>
      <c r="Q35" s="69" t="s">
        <v>4</v>
      </c>
      <c r="R35" s="72">
        <v>-30781.000000000015</v>
      </c>
      <c r="S35" s="65">
        <f t="shared" si="4"/>
        <v>334494.89999999997</v>
      </c>
      <c r="T35" s="65">
        <v>1104077.7999999996</v>
      </c>
      <c r="U35" s="65">
        <f t="shared" si="5"/>
        <v>3.300731341494293</v>
      </c>
    </row>
    <row r="36" spans="1:21" s="62" customFormat="1" ht="15.75">
      <c r="A36" s="64">
        <v>42248</v>
      </c>
      <c r="B36" s="65">
        <v>216072.1</v>
      </c>
      <c r="C36" s="65">
        <v>79716.8</v>
      </c>
      <c r="D36" s="65">
        <v>5700.2</v>
      </c>
      <c r="E36" s="65">
        <v>3810.3</v>
      </c>
      <c r="F36" s="65">
        <v>8658</v>
      </c>
      <c r="G36" s="65">
        <v>33.1</v>
      </c>
      <c r="H36" s="67">
        <v>323.5</v>
      </c>
      <c r="I36" s="65">
        <f t="shared" si="3"/>
        <v>314314</v>
      </c>
      <c r="J36" s="73">
        <v>-77050.1</v>
      </c>
      <c r="K36" s="65">
        <v>398227.1</v>
      </c>
      <c r="L36" s="69">
        <v>4840.3</v>
      </c>
      <c r="M36" s="69">
        <v>2000</v>
      </c>
      <c r="N36" s="65">
        <v>20</v>
      </c>
      <c r="O36" s="70" t="s">
        <v>4</v>
      </c>
      <c r="P36" s="65">
        <v>14713.9</v>
      </c>
      <c r="Q36" s="69" t="s">
        <v>4</v>
      </c>
      <c r="R36" s="72">
        <v>-28437.199999999997</v>
      </c>
      <c r="S36" s="65">
        <f t="shared" si="4"/>
        <v>314314</v>
      </c>
      <c r="T36" s="65">
        <v>1107152.9944444443</v>
      </c>
      <c r="U36" s="65">
        <f t="shared" si="5"/>
        <v>3.5224425079520616</v>
      </c>
    </row>
    <row r="37" spans="1:21" s="62" customFormat="1" ht="15.75">
      <c r="A37" s="64">
        <v>42339</v>
      </c>
      <c r="B37" s="65">
        <v>230723.7</v>
      </c>
      <c r="C37" s="65">
        <v>84351</v>
      </c>
      <c r="D37" s="65">
        <v>1611</v>
      </c>
      <c r="E37" s="65">
        <v>2209.5</v>
      </c>
      <c r="F37" s="65">
        <v>4368.5</v>
      </c>
      <c r="G37" s="65">
        <v>44.5</v>
      </c>
      <c r="H37" s="67">
        <v>1200</v>
      </c>
      <c r="I37" s="65">
        <f t="shared" si="3"/>
        <v>324508.2</v>
      </c>
      <c r="J37" s="73">
        <v>-132985.6</v>
      </c>
      <c r="K37" s="65">
        <v>452581.6</v>
      </c>
      <c r="L37" s="69">
        <v>19800</v>
      </c>
      <c r="M37" s="69">
        <v>2000</v>
      </c>
      <c r="N37" s="65">
        <v>20</v>
      </c>
      <c r="O37" s="70" t="s">
        <v>4</v>
      </c>
      <c r="P37" s="65">
        <v>14933.9</v>
      </c>
      <c r="Q37" s="69" t="s">
        <v>4</v>
      </c>
      <c r="R37" s="72">
        <v>-31841.69999999999</v>
      </c>
      <c r="S37" s="65">
        <f t="shared" si="4"/>
        <v>324508.2</v>
      </c>
      <c r="T37" s="65">
        <v>1106380</v>
      </c>
      <c r="U37" s="65">
        <f t="shared" si="5"/>
        <v>3.4094053709582686</v>
      </c>
    </row>
    <row r="38" spans="1:21" s="62" customFormat="1" ht="15.75">
      <c r="A38" s="64">
        <v>42430</v>
      </c>
      <c r="B38" s="65">
        <v>219964.2</v>
      </c>
      <c r="C38" s="65">
        <v>94301.6</v>
      </c>
      <c r="D38" s="65">
        <v>2510.7</v>
      </c>
      <c r="E38" s="65">
        <v>2734.9</v>
      </c>
      <c r="F38" s="65">
        <v>2813.9</v>
      </c>
      <c r="G38" s="65">
        <v>26.4</v>
      </c>
      <c r="H38" s="67">
        <v>910.3</v>
      </c>
      <c r="I38" s="65">
        <f t="shared" si="3"/>
        <v>323262.0000000001</v>
      </c>
      <c r="J38" s="73">
        <v>-194954</v>
      </c>
      <c r="K38" s="65">
        <v>453694.6</v>
      </c>
      <c r="L38" s="69">
        <v>71850</v>
      </c>
      <c r="M38" s="69">
        <v>2000</v>
      </c>
      <c r="N38" s="65">
        <v>20</v>
      </c>
      <c r="O38" s="70" t="s">
        <v>4</v>
      </c>
      <c r="P38" s="65">
        <v>15893</v>
      </c>
      <c r="Q38" s="69" t="s">
        <v>4</v>
      </c>
      <c r="R38" s="72">
        <v>-25241.600000000006</v>
      </c>
      <c r="S38" s="65">
        <f t="shared" si="4"/>
        <v>323262</v>
      </c>
      <c r="T38" s="65">
        <v>1079593.5999999999</v>
      </c>
      <c r="U38" s="65">
        <f t="shared" si="5"/>
        <v>3.3396860750722306</v>
      </c>
    </row>
    <row r="39" spans="1:21" s="62" customFormat="1" ht="15.75">
      <c r="A39" s="64">
        <v>42522</v>
      </c>
      <c r="B39" s="65">
        <v>255415.5</v>
      </c>
      <c r="C39" s="65">
        <v>98845.3</v>
      </c>
      <c r="D39" s="65">
        <v>3186.6</v>
      </c>
      <c r="E39" s="65">
        <v>1740</v>
      </c>
      <c r="F39" s="65">
        <v>4307.5</v>
      </c>
      <c r="G39" s="65">
        <v>16.1</v>
      </c>
      <c r="H39" s="67">
        <v>557.9</v>
      </c>
      <c r="I39" s="65">
        <f t="shared" si="3"/>
        <v>364068.89999999997</v>
      </c>
      <c r="J39" s="73">
        <v>-186003.4</v>
      </c>
      <c r="K39" s="65">
        <v>457106.39999999997</v>
      </c>
      <c r="L39" s="69">
        <v>101000</v>
      </c>
      <c r="M39" s="69">
        <v>2000</v>
      </c>
      <c r="N39" s="65">
        <v>20</v>
      </c>
      <c r="O39" s="70"/>
      <c r="P39" s="65">
        <v>16553.2</v>
      </c>
      <c r="Q39" s="69" t="s">
        <v>4</v>
      </c>
      <c r="R39" s="72">
        <v>-26607.29999999999</v>
      </c>
      <c r="S39" s="65">
        <f t="shared" si="4"/>
        <v>364068.9</v>
      </c>
      <c r="T39" s="65">
        <v>1122380.2999999998</v>
      </c>
      <c r="U39" s="65">
        <f t="shared" si="5"/>
        <v>3.0828788177182944</v>
      </c>
    </row>
    <row r="40" spans="1:21" s="62" customFormat="1" ht="15.75">
      <c r="A40" s="64">
        <v>42614</v>
      </c>
      <c r="B40" s="65">
        <v>254499.1</v>
      </c>
      <c r="C40" s="65">
        <v>124775.9</v>
      </c>
      <c r="D40" s="65">
        <v>834</v>
      </c>
      <c r="E40" s="65">
        <v>3523.6</v>
      </c>
      <c r="F40" s="65">
        <v>4926.1</v>
      </c>
      <c r="G40" s="65">
        <v>3.6</v>
      </c>
      <c r="H40" s="67">
        <v>1138.3</v>
      </c>
      <c r="I40" s="65">
        <f t="shared" si="3"/>
        <v>389700.5999999999</v>
      </c>
      <c r="J40" s="73">
        <v>-181601</v>
      </c>
      <c r="K40" s="65">
        <v>457923.6</v>
      </c>
      <c r="L40" s="69">
        <v>118705</v>
      </c>
      <c r="M40" s="69">
        <v>2000</v>
      </c>
      <c r="N40" s="65">
        <v>20</v>
      </c>
      <c r="O40" s="70"/>
      <c r="P40" s="65">
        <v>16291.4</v>
      </c>
      <c r="Q40" s="69" t="s">
        <v>4</v>
      </c>
      <c r="R40" s="72">
        <v>-23638.40000000001</v>
      </c>
      <c r="S40" s="65">
        <f t="shared" si="4"/>
        <v>389700.6</v>
      </c>
      <c r="T40" s="65">
        <v>1136853.5</v>
      </c>
      <c r="U40" s="65">
        <f t="shared" si="5"/>
        <v>2.9172485236101773</v>
      </c>
    </row>
    <row r="41" spans="1:21" s="62" customFormat="1" ht="15.75">
      <c r="A41" s="64">
        <v>42705</v>
      </c>
      <c r="B41" s="65">
        <v>267512.5</v>
      </c>
      <c r="C41" s="65">
        <v>134302.8</v>
      </c>
      <c r="D41" s="65">
        <v>5995.8</v>
      </c>
      <c r="E41" s="65">
        <v>3575.7</v>
      </c>
      <c r="F41" s="65">
        <v>6509.8</v>
      </c>
      <c r="G41" s="65">
        <v>7.7</v>
      </c>
      <c r="H41" s="67">
        <v>1319.7</v>
      </c>
      <c r="I41" s="65">
        <f t="shared" si="3"/>
        <v>419224</v>
      </c>
      <c r="J41" s="73">
        <v>-162073.80000000002</v>
      </c>
      <c r="K41" s="65">
        <v>509226.20000000007</v>
      </c>
      <c r="L41" s="69">
        <v>87000</v>
      </c>
      <c r="M41" s="69">
        <v>2000</v>
      </c>
      <c r="N41" s="65">
        <v>20</v>
      </c>
      <c r="O41" s="70"/>
      <c r="P41" s="65">
        <v>15731</v>
      </c>
      <c r="Q41" s="69" t="s">
        <v>4</v>
      </c>
      <c r="R41" s="72">
        <v>-32679.39999999999</v>
      </c>
      <c r="S41" s="65">
        <f t="shared" si="4"/>
        <v>419224.00000000006</v>
      </c>
      <c r="T41" s="65">
        <v>1187101.8</v>
      </c>
      <c r="U41" s="65">
        <f t="shared" si="5"/>
        <v>2.8316646947693838</v>
      </c>
    </row>
    <row r="42" spans="1:21" s="62" customFormat="1" ht="15.75">
      <c r="A42" s="64">
        <v>42825</v>
      </c>
      <c r="B42" s="65">
        <v>267562.4</v>
      </c>
      <c r="C42" s="65">
        <v>167615</v>
      </c>
      <c r="D42" s="65">
        <v>14379.7</v>
      </c>
      <c r="E42" s="65">
        <v>2634.1</v>
      </c>
      <c r="F42" s="65">
        <v>12223.899999999998</v>
      </c>
      <c r="G42" s="65">
        <v>157.1</v>
      </c>
      <c r="H42" s="67">
        <v>21755.6</v>
      </c>
      <c r="I42" s="65">
        <f aca="true" t="shared" si="6" ref="I42:I57">H42+F42+E42+C42+B42+G42+D42</f>
        <v>486327.8</v>
      </c>
      <c r="J42" s="73">
        <v>-133135.90000000002</v>
      </c>
      <c r="K42" s="65">
        <v>544205.1</v>
      </c>
      <c r="L42" s="69">
        <v>87840</v>
      </c>
      <c r="M42" s="69">
        <v>1000</v>
      </c>
      <c r="N42" s="65">
        <v>20</v>
      </c>
      <c r="O42" s="70"/>
      <c r="P42" s="65">
        <v>20527</v>
      </c>
      <c r="Q42" s="69" t="s">
        <v>4</v>
      </c>
      <c r="R42" s="72">
        <v>-34128.39999999999</v>
      </c>
      <c r="S42" s="65">
        <f t="shared" si="4"/>
        <v>486327.8</v>
      </c>
      <c r="T42" s="65">
        <v>1299479.7</v>
      </c>
      <c r="U42" s="65">
        <f t="shared" si="5"/>
        <v>2.6720243013045932</v>
      </c>
    </row>
    <row r="43" spans="1:21" s="62" customFormat="1" ht="15.75">
      <c r="A43" s="64">
        <v>42916</v>
      </c>
      <c r="B43" s="65">
        <v>301775.5</v>
      </c>
      <c r="C43" s="65">
        <v>101969.2</v>
      </c>
      <c r="D43" s="65">
        <v>12376</v>
      </c>
      <c r="E43" s="65">
        <v>2615.3999999999996</v>
      </c>
      <c r="F43" s="65">
        <v>17691.3</v>
      </c>
      <c r="G43" s="65">
        <v>11</v>
      </c>
      <c r="H43" s="67">
        <v>31187.100000000002</v>
      </c>
      <c r="I43" s="65">
        <f t="shared" si="6"/>
        <v>467625.5</v>
      </c>
      <c r="J43" s="73">
        <v>-140476.99999999994</v>
      </c>
      <c r="K43" s="65">
        <v>542983.6000000001</v>
      </c>
      <c r="L43" s="69">
        <v>69737.5</v>
      </c>
      <c r="M43" s="69">
        <v>1000</v>
      </c>
      <c r="N43" s="65">
        <v>20</v>
      </c>
      <c r="O43" s="70"/>
      <c r="P43" s="65">
        <v>22527.9</v>
      </c>
      <c r="Q43" s="69" t="s">
        <v>4</v>
      </c>
      <c r="R43" s="72">
        <v>-28166.499999999993</v>
      </c>
      <c r="S43" s="65">
        <f t="shared" si="4"/>
        <v>467625.5000000002</v>
      </c>
      <c r="T43" s="65">
        <v>1417053.1</v>
      </c>
      <c r="U43" s="65">
        <f t="shared" si="5"/>
        <v>3.0303161397314735</v>
      </c>
    </row>
    <row r="44" spans="1:21" s="62" customFormat="1" ht="15.75">
      <c r="A44" s="64">
        <v>43008</v>
      </c>
      <c r="B44" s="65">
        <v>297683.1</v>
      </c>
      <c r="C44" s="65">
        <v>156387.7</v>
      </c>
      <c r="D44" s="65">
        <v>9305.3</v>
      </c>
      <c r="E44" s="65">
        <v>2490.4</v>
      </c>
      <c r="F44" s="65">
        <v>25793.7</v>
      </c>
      <c r="G44" s="65">
        <v>6.3</v>
      </c>
      <c r="H44" s="67">
        <v>31699.3</v>
      </c>
      <c r="I44" s="65">
        <f t="shared" si="6"/>
        <v>523365.79999999993</v>
      </c>
      <c r="J44" s="73">
        <v>-134023.80000000002</v>
      </c>
      <c r="K44" s="65">
        <v>509123.6</v>
      </c>
      <c r="L44" s="69">
        <v>123150</v>
      </c>
      <c r="M44" s="69">
        <v>0</v>
      </c>
      <c r="N44" s="65">
        <v>20</v>
      </c>
      <c r="O44" s="70"/>
      <c r="P44" s="65">
        <v>23325.1</v>
      </c>
      <c r="Q44" s="69" t="s">
        <v>4</v>
      </c>
      <c r="R44" s="72">
        <v>1770.9000000000028</v>
      </c>
      <c r="S44" s="65">
        <f t="shared" si="4"/>
        <v>523365.79999999993</v>
      </c>
      <c r="T44" s="65">
        <v>1428077.7500000002</v>
      </c>
      <c r="U44" s="65">
        <f t="shared" si="5"/>
        <v>2.728641707196</v>
      </c>
    </row>
    <row r="45" spans="1:21" s="62" customFormat="1" ht="15.75">
      <c r="A45" s="64">
        <v>43100</v>
      </c>
      <c r="B45" s="65">
        <v>308146.3</v>
      </c>
      <c r="C45" s="65">
        <v>221165.7</v>
      </c>
      <c r="D45" s="65">
        <v>2688.4</v>
      </c>
      <c r="E45" s="65">
        <v>2169.6</v>
      </c>
      <c r="F45" s="65">
        <v>18092.1</v>
      </c>
      <c r="G45" s="65">
        <v>20</v>
      </c>
      <c r="H45" s="67">
        <v>28588.8</v>
      </c>
      <c r="I45" s="65">
        <f t="shared" si="6"/>
        <v>580870.9</v>
      </c>
      <c r="J45" s="73">
        <v>-144480.39999999997</v>
      </c>
      <c r="K45" s="65">
        <v>528460.3999999999</v>
      </c>
      <c r="L45" s="69">
        <v>159990</v>
      </c>
      <c r="M45" s="69">
        <v>0</v>
      </c>
      <c r="N45" s="65">
        <v>20</v>
      </c>
      <c r="O45" s="70"/>
      <c r="P45" s="65">
        <v>22686.1</v>
      </c>
      <c r="Q45" s="69" t="s">
        <v>4</v>
      </c>
      <c r="R45" s="72">
        <v>14194.800000000032</v>
      </c>
      <c r="S45" s="65">
        <f t="shared" si="4"/>
        <v>580870.9</v>
      </c>
      <c r="T45" s="65">
        <v>1499512.9000000001</v>
      </c>
      <c r="U45" s="65">
        <f t="shared" si="5"/>
        <v>2.581490826963444</v>
      </c>
    </row>
    <row r="46" spans="1:21" s="62" customFormat="1" ht="15.75">
      <c r="A46" s="64">
        <v>43190</v>
      </c>
      <c r="B46" s="65">
        <v>302042.8</v>
      </c>
      <c r="C46" s="65">
        <v>151882.30000000002</v>
      </c>
      <c r="D46" s="65">
        <v>12465.900000000001</v>
      </c>
      <c r="E46" s="65">
        <v>1222.4</v>
      </c>
      <c r="F46" s="65">
        <v>18559.899999999998</v>
      </c>
      <c r="G46" s="65">
        <v>19.3</v>
      </c>
      <c r="H46" s="67">
        <v>32478.600000000002</v>
      </c>
      <c r="I46" s="65">
        <f t="shared" si="6"/>
        <v>518671.2</v>
      </c>
      <c r="J46" s="73">
        <v>-180109.99999999997</v>
      </c>
      <c r="K46" s="65">
        <v>483446</v>
      </c>
      <c r="L46" s="69">
        <v>185103.2</v>
      </c>
      <c r="M46" s="69">
        <v>0</v>
      </c>
      <c r="N46" s="65">
        <v>20</v>
      </c>
      <c r="O46" s="70"/>
      <c r="P46" s="65">
        <v>23078.2</v>
      </c>
      <c r="Q46" s="69" t="s">
        <v>4</v>
      </c>
      <c r="R46" s="72">
        <v>7133.799999999977</v>
      </c>
      <c r="S46" s="65">
        <f t="shared" si="4"/>
        <v>518671.2</v>
      </c>
      <c r="T46" s="65">
        <v>1576438.5</v>
      </c>
      <c r="U46" s="65">
        <f t="shared" si="5"/>
        <v>3.0393792830602506</v>
      </c>
    </row>
    <row r="47" spans="1:21" s="62" customFormat="1" ht="15.75">
      <c r="A47" s="64">
        <v>43281</v>
      </c>
      <c r="B47" s="65">
        <v>334282.7</v>
      </c>
      <c r="C47" s="65">
        <v>161888.4</v>
      </c>
      <c r="D47" s="65">
        <v>3460.1000000000004</v>
      </c>
      <c r="E47" s="65">
        <v>1303.3</v>
      </c>
      <c r="F47" s="65">
        <v>18483.5</v>
      </c>
      <c r="G47" s="65">
        <v>27.6</v>
      </c>
      <c r="H47" s="67">
        <v>29101.3</v>
      </c>
      <c r="I47" s="65">
        <f t="shared" si="6"/>
        <v>548546.8999999999</v>
      </c>
      <c r="J47" s="73">
        <v>-175279.1</v>
      </c>
      <c r="K47" s="65">
        <v>408472.6</v>
      </c>
      <c r="L47" s="69">
        <v>283075.3</v>
      </c>
      <c r="M47" s="69">
        <v>0</v>
      </c>
      <c r="N47" s="65">
        <v>20</v>
      </c>
      <c r="O47" s="70"/>
      <c r="P47" s="65">
        <v>23885.4</v>
      </c>
      <c r="Q47" s="69" t="s">
        <v>4</v>
      </c>
      <c r="R47" s="72">
        <v>8372.700000000052</v>
      </c>
      <c r="S47" s="65">
        <f t="shared" si="4"/>
        <v>548546.9</v>
      </c>
      <c r="T47" s="65">
        <v>1620461.3000000003</v>
      </c>
      <c r="U47" s="65">
        <f t="shared" si="5"/>
        <v>2.954097999642329</v>
      </c>
    </row>
    <row r="48" spans="1:21" s="62" customFormat="1" ht="15.75">
      <c r="A48" s="64">
        <v>43373</v>
      </c>
      <c r="B48" s="65">
        <v>320520.4</v>
      </c>
      <c r="C48" s="65">
        <v>172865.5</v>
      </c>
      <c r="D48" s="65">
        <v>3240.1000000000004</v>
      </c>
      <c r="E48" s="65">
        <v>3001.7</v>
      </c>
      <c r="F48" s="65">
        <v>13529.7</v>
      </c>
      <c r="G48" s="65">
        <v>9</v>
      </c>
      <c r="H48" s="67">
        <v>38548.9</v>
      </c>
      <c r="I48" s="65">
        <f t="shared" si="6"/>
        <v>551715.2999999999</v>
      </c>
      <c r="J48" s="73">
        <v>-185086.7</v>
      </c>
      <c r="K48" s="65">
        <v>394238</v>
      </c>
      <c r="L48" s="69">
        <v>282430</v>
      </c>
      <c r="M48" s="69">
        <v>0</v>
      </c>
      <c r="N48" s="65">
        <v>20</v>
      </c>
      <c r="O48" s="70"/>
      <c r="P48" s="65">
        <v>24794.000000000004</v>
      </c>
      <c r="Q48" s="69" t="s">
        <v>4</v>
      </c>
      <c r="R48" s="72">
        <v>35320</v>
      </c>
      <c r="S48" s="65">
        <f t="shared" si="4"/>
        <v>551715.3</v>
      </c>
      <c r="T48" s="65">
        <v>1688923.0999999999</v>
      </c>
      <c r="U48" s="65">
        <f t="shared" si="5"/>
        <v>3.061222155702407</v>
      </c>
    </row>
    <row r="49" spans="1:21" s="62" customFormat="1" ht="15.75">
      <c r="A49" s="64">
        <v>43465</v>
      </c>
      <c r="B49" s="65">
        <v>350207.6</v>
      </c>
      <c r="C49" s="65">
        <v>166378.19999999998</v>
      </c>
      <c r="D49" s="65">
        <v>4497.5</v>
      </c>
      <c r="E49" s="65">
        <v>3538.7999999999997</v>
      </c>
      <c r="F49" s="65">
        <v>9097.099999999999</v>
      </c>
      <c r="G49" s="65">
        <v>17.8</v>
      </c>
      <c r="H49" s="67">
        <v>31091.8</v>
      </c>
      <c r="I49" s="65">
        <f t="shared" si="6"/>
        <v>564828.8</v>
      </c>
      <c r="J49" s="73">
        <v>-165217.1</v>
      </c>
      <c r="K49" s="65">
        <v>441299.1</v>
      </c>
      <c r="L49" s="69">
        <v>248180</v>
      </c>
      <c r="M49" s="69">
        <v>0</v>
      </c>
      <c r="N49" s="65">
        <v>20</v>
      </c>
      <c r="O49" s="70"/>
      <c r="P49" s="65">
        <v>24119.000000000004</v>
      </c>
      <c r="Q49" s="69" t="s">
        <v>4</v>
      </c>
      <c r="R49" s="72">
        <v>16427.800000000032</v>
      </c>
      <c r="S49" s="65">
        <f t="shared" si="4"/>
        <v>564828.8</v>
      </c>
      <c r="T49" s="65">
        <v>1797468.9000000001</v>
      </c>
      <c r="U49" s="65">
        <f t="shared" si="5"/>
        <v>3.182325157640687</v>
      </c>
    </row>
    <row r="50" spans="1:21" s="62" customFormat="1" ht="15.75">
      <c r="A50" s="64">
        <v>43555</v>
      </c>
      <c r="B50" s="65">
        <v>329231.6</v>
      </c>
      <c r="C50" s="65">
        <v>207823.9</v>
      </c>
      <c r="D50" s="65">
        <v>17499.7</v>
      </c>
      <c r="E50" s="65">
        <v>1904.8</v>
      </c>
      <c r="F50" s="65">
        <v>12489.6</v>
      </c>
      <c r="G50" s="65">
        <v>62.3</v>
      </c>
      <c r="H50" s="67">
        <f>2626.8+35338.9</f>
        <v>37965.700000000004</v>
      </c>
      <c r="I50" s="65">
        <f t="shared" si="6"/>
        <v>606977.6</v>
      </c>
      <c r="J50" s="73">
        <f>130884.5-298865.3+1198.4</f>
        <v>-166782.4</v>
      </c>
      <c r="K50" s="65">
        <f>776260.3-358269.2</f>
        <v>417991.10000000003</v>
      </c>
      <c r="L50" s="69">
        <v>287000</v>
      </c>
      <c r="M50" s="69">
        <v>0</v>
      </c>
      <c r="N50" s="65">
        <v>20</v>
      </c>
      <c r="O50" s="70"/>
      <c r="P50" s="65">
        <v>23853.8</v>
      </c>
      <c r="Q50" s="69" t="s">
        <v>4</v>
      </c>
      <c r="R50" s="72">
        <f>157.9+887.8+200172.4-1198.4-34809.4-1728.6-126372.4+7785.8</f>
        <v>44895.10000000002</v>
      </c>
      <c r="S50" s="65">
        <f t="shared" si="4"/>
        <v>606977.6000000001</v>
      </c>
      <c r="T50" s="65">
        <v>1885235.1999999997</v>
      </c>
      <c r="U50" s="65">
        <f t="shared" si="5"/>
        <v>3.105938670553905</v>
      </c>
    </row>
    <row r="51" spans="1:21" s="62" customFormat="1" ht="15.75">
      <c r="A51" s="64">
        <v>43646</v>
      </c>
      <c r="B51" s="65">
        <v>383003.4</v>
      </c>
      <c r="C51" s="65">
        <v>217133.9</v>
      </c>
      <c r="D51" s="65">
        <v>8594.1</v>
      </c>
      <c r="E51" s="65">
        <v>3359.1</v>
      </c>
      <c r="F51" s="65">
        <v>8879.6</v>
      </c>
      <c r="G51" s="65">
        <v>27.9</v>
      </c>
      <c r="H51" s="67">
        <f>2131.1+34831.4</f>
        <v>36962.5</v>
      </c>
      <c r="I51" s="65">
        <f t="shared" si="6"/>
        <v>657960.5</v>
      </c>
      <c r="J51" s="73">
        <f>170121.6+7031.5-298866.2</f>
        <v>-121713.1</v>
      </c>
      <c r="K51" s="65">
        <f>762094-384896.3</f>
        <v>377197.7</v>
      </c>
      <c r="L51" s="69">
        <v>335077.8</v>
      </c>
      <c r="M51" s="69">
        <v>0</v>
      </c>
      <c r="N51" s="65">
        <v>20</v>
      </c>
      <c r="O51" s="70"/>
      <c r="P51" s="65">
        <v>23502.4</v>
      </c>
      <c r="Q51" s="69" t="s">
        <v>4</v>
      </c>
      <c r="R51" s="72">
        <f>157.9+887.8+181402.6-7031.5-38420.7-3955.7-140899.6+51734.9</f>
        <v>43875.70000000002</v>
      </c>
      <c r="S51" s="65">
        <f t="shared" si="4"/>
        <v>657960.5000000001</v>
      </c>
      <c r="T51" s="65">
        <v>2029488.7000000002</v>
      </c>
      <c r="U51" s="65">
        <f t="shared" si="5"/>
        <v>3.084514495930987</v>
      </c>
    </row>
    <row r="52" spans="1:21" s="62" customFormat="1" ht="15.75">
      <c r="A52" s="64">
        <v>43738</v>
      </c>
      <c r="B52" s="65">
        <v>373777.4</v>
      </c>
      <c r="C52" s="65">
        <v>200245.8</v>
      </c>
      <c r="D52" s="65">
        <v>13233.099999999999</v>
      </c>
      <c r="E52" s="65">
        <v>3326.6</v>
      </c>
      <c r="F52" s="65">
        <v>12715.200000000003</v>
      </c>
      <c r="G52" s="65">
        <v>1.4</v>
      </c>
      <c r="H52" s="67">
        <f>2563.7+38573.2</f>
        <v>41136.899999999994</v>
      </c>
      <c r="I52" s="65">
        <f t="shared" si="6"/>
        <v>644436.4</v>
      </c>
      <c r="J52" s="73">
        <f>145197.8+7031.5-295964.1</f>
        <v>-143734.8</v>
      </c>
      <c r="K52" s="65">
        <f>756889.1-465555.2</f>
        <v>291333.89999999997</v>
      </c>
      <c r="L52" s="69">
        <v>399460.9</v>
      </c>
      <c r="M52" s="69">
        <v>0</v>
      </c>
      <c r="N52" s="65">
        <v>20</v>
      </c>
      <c r="O52" s="70"/>
      <c r="P52" s="65">
        <v>24409.9</v>
      </c>
      <c r="Q52" s="69" t="s">
        <v>4</v>
      </c>
      <c r="R52" s="72">
        <f>157.9+887.8+210464.2-7031.5-29487.1-1894.5-146196.7+46046.4</f>
        <v>72946.5</v>
      </c>
      <c r="S52" s="65">
        <f t="shared" si="4"/>
        <v>644436.4</v>
      </c>
      <c r="T52" s="65">
        <v>2074809.1</v>
      </c>
      <c r="U52" s="65">
        <f t="shared" si="5"/>
        <v>3.2195715512035012</v>
      </c>
    </row>
    <row r="53" spans="1:21" s="62" customFormat="1" ht="15.75">
      <c r="A53" s="64">
        <v>43830</v>
      </c>
      <c r="B53" s="65">
        <v>414814.9</v>
      </c>
      <c r="C53" s="65">
        <v>208123.19999999998</v>
      </c>
      <c r="D53" s="65">
        <v>22962.1</v>
      </c>
      <c r="E53" s="65">
        <v>4340</v>
      </c>
      <c r="F53" s="65">
        <v>5405</v>
      </c>
      <c r="G53" s="65">
        <v>1.2</v>
      </c>
      <c r="H53" s="67">
        <f>40326.4+2178.8</f>
        <v>42505.200000000004</v>
      </c>
      <c r="I53" s="65">
        <f t="shared" si="6"/>
        <v>698151.6</v>
      </c>
      <c r="J53" s="73">
        <f>235831.3+5935-371157</f>
        <v>-129390.70000000001</v>
      </c>
      <c r="K53" s="65">
        <f>746479.4-421651.4</f>
        <v>324828</v>
      </c>
      <c r="L53" s="69">
        <v>422379.9</v>
      </c>
      <c r="M53" s="69">
        <v>0</v>
      </c>
      <c r="N53" s="65">
        <v>20</v>
      </c>
      <c r="O53" s="70"/>
      <c r="P53" s="65">
        <v>24491.3</v>
      </c>
      <c r="Q53" s="69" t="s">
        <v>4</v>
      </c>
      <c r="R53" s="72">
        <f>199796.9+157.9+887.8-5935-59688.3-3847.6-132146.2+56597.6</f>
        <v>55823.09999999997</v>
      </c>
      <c r="S53" s="65">
        <f t="shared" si="4"/>
        <v>698151.6</v>
      </c>
      <c r="T53" s="65">
        <v>2202818.5999999996</v>
      </c>
      <c r="U53" s="65">
        <f>T53/I53</f>
        <v>3.1552152856199136</v>
      </c>
    </row>
    <row r="54" spans="1:21" s="62" customFormat="1" ht="15.75">
      <c r="A54" s="64">
        <v>43921</v>
      </c>
      <c r="B54" s="65">
        <v>386208.7</v>
      </c>
      <c r="C54" s="65">
        <v>177910.2</v>
      </c>
      <c r="D54" s="65">
        <v>21319.5</v>
      </c>
      <c r="E54" s="65">
        <v>5434.3</v>
      </c>
      <c r="F54" s="65">
        <v>13715.3</v>
      </c>
      <c r="G54" s="65">
        <v>31.4</v>
      </c>
      <c r="H54" s="67">
        <f>2283.6+37067.4</f>
        <v>39351</v>
      </c>
      <c r="I54" s="65">
        <f t="shared" si="6"/>
        <v>643970.4</v>
      </c>
      <c r="J54" s="73">
        <f>188354.3+5935-361308.8</f>
        <v>-167019.5</v>
      </c>
      <c r="K54" s="65">
        <f>738672-448559.6</f>
        <v>290112.4</v>
      </c>
      <c r="L54" s="69">
        <v>420106.2</v>
      </c>
      <c r="M54" s="69">
        <v>0</v>
      </c>
      <c r="N54" s="65">
        <v>20</v>
      </c>
      <c r="O54" s="70"/>
      <c r="P54" s="65">
        <v>25180.8</v>
      </c>
      <c r="Q54" s="69" t="s">
        <v>4</v>
      </c>
      <c r="R54" s="72">
        <f>215607.8+157.9+887.8-5935-58131.8-2423-128005.9+53412.7</f>
        <v>75570.49999999996</v>
      </c>
      <c r="S54" s="65">
        <f t="shared" si="4"/>
        <v>643970.4000000001</v>
      </c>
      <c r="T54" s="65">
        <v>2212757</v>
      </c>
      <c r="U54" s="65">
        <f>T54/I54</f>
        <v>3.436116007816508</v>
      </c>
    </row>
    <row r="55" spans="1:21" s="62" customFormat="1" ht="15.75">
      <c r="A55" s="64">
        <v>44012</v>
      </c>
      <c r="B55" s="65">
        <v>434272.9</v>
      </c>
      <c r="C55" s="65">
        <v>203225.4</v>
      </c>
      <c r="D55" s="65">
        <v>10577.3</v>
      </c>
      <c r="E55" s="65">
        <v>3411.8</v>
      </c>
      <c r="F55" s="65">
        <v>9558.399999999998</v>
      </c>
      <c r="G55" s="65">
        <v>3.5</v>
      </c>
      <c r="H55" s="67">
        <f>3006.1+39875.7</f>
        <v>42881.799999999996</v>
      </c>
      <c r="I55" s="65">
        <f t="shared" si="6"/>
        <v>703931.1000000001</v>
      </c>
      <c r="J55" s="73">
        <f>167975.9+4763.1-357357.6</f>
        <v>-184618.59999999998</v>
      </c>
      <c r="K55" s="65">
        <f>736222.2-432881.7</f>
        <v>303340.49999999994</v>
      </c>
      <c r="L55" s="69">
        <v>421436.2</v>
      </c>
      <c r="M55" s="69">
        <v>0</v>
      </c>
      <c r="N55" s="65">
        <v>20</v>
      </c>
      <c r="O55" s="70"/>
      <c r="P55" s="65">
        <v>26117.6</v>
      </c>
      <c r="Q55" s="69" t="s">
        <v>4</v>
      </c>
      <c r="R55" s="72">
        <f>281819.7+157.9+887.8-4763.1-55808.9-2715.5-130627.9+48685.4</f>
        <v>137635.40000000005</v>
      </c>
      <c r="S55" s="65">
        <f t="shared" si="4"/>
        <v>703931.1</v>
      </c>
      <c r="T55" s="65">
        <v>2401552.5</v>
      </c>
      <c r="U55" s="65">
        <f>T55/I55</f>
        <v>3.4116300586804584</v>
      </c>
    </row>
    <row r="56" spans="1:21" s="62" customFormat="1" ht="15.75">
      <c r="A56" s="64">
        <v>44104</v>
      </c>
      <c r="B56" s="65">
        <v>454635.1</v>
      </c>
      <c r="C56" s="65">
        <v>225925.4</v>
      </c>
      <c r="D56" s="65">
        <v>17859.6</v>
      </c>
      <c r="E56" s="65">
        <v>5187.4</v>
      </c>
      <c r="F56" s="65">
        <v>16733</v>
      </c>
      <c r="G56" s="65">
        <v>3</v>
      </c>
      <c r="H56" s="67">
        <f>3919.9+41267.2</f>
        <v>45187.1</v>
      </c>
      <c r="I56" s="65">
        <f t="shared" si="6"/>
        <v>765530.6</v>
      </c>
      <c r="J56" s="73">
        <f>196602.9+4763.1-352390.2</f>
        <v>-151024.2</v>
      </c>
      <c r="K56" s="65">
        <f>901482.7-447533.4</f>
        <v>453949.29999999993</v>
      </c>
      <c r="L56" s="69">
        <f>360450+4000</f>
        <v>364450</v>
      </c>
      <c r="M56" s="69">
        <v>0</v>
      </c>
      <c r="N56" s="65">
        <v>20</v>
      </c>
      <c r="O56" s="70"/>
      <c r="P56" s="65">
        <v>27566.4</v>
      </c>
      <c r="Q56" s="69" t="s">
        <v>4</v>
      </c>
      <c r="R56" s="72">
        <f>200006.1+157.9+887.8-4763.1-65861.7-2821.3-143938.8+86902.2</f>
        <v>70569.09999999999</v>
      </c>
      <c r="S56" s="65">
        <f t="shared" si="4"/>
        <v>765530.5999999999</v>
      </c>
      <c r="T56" s="65">
        <v>2577494.4</v>
      </c>
      <c r="U56" s="65">
        <f>T56/I56</f>
        <v>3.3669384345968667</v>
      </c>
    </row>
    <row r="57" spans="1:21" s="62" customFormat="1" ht="15.75">
      <c r="A57" s="64">
        <v>44196</v>
      </c>
      <c r="B57" s="65">
        <v>503703.5</v>
      </c>
      <c r="C57" s="65">
        <v>216248.8</v>
      </c>
      <c r="D57" s="65">
        <v>9345.300000000001</v>
      </c>
      <c r="E57" s="65">
        <v>4005.2</v>
      </c>
      <c r="F57" s="65">
        <v>5956.7</v>
      </c>
      <c r="G57" s="65">
        <v>4.7</v>
      </c>
      <c r="H57" s="67">
        <f>5393.2+34319.3</f>
        <v>39712.5</v>
      </c>
      <c r="I57" s="65">
        <f t="shared" si="6"/>
        <v>778976.7</v>
      </c>
      <c r="J57" s="73">
        <f>246109.6+4763.1-343978</f>
        <v>-93105.29999999999</v>
      </c>
      <c r="K57" s="65">
        <f>894667.8-456634.2</f>
        <v>438033.60000000003</v>
      </c>
      <c r="L57" s="69">
        <f>298901.2+4000</f>
        <v>302901.2</v>
      </c>
      <c r="M57" s="69">
        <v>0</v>
      </c>
      <c r="N57" s="65">
        <v>20</v>
      </c>
      <c r="O57" s="70"/>
      <c r="P57" s="65">
        <v>28597.200000000004</v>
      </c>
      <c r="Q57" s="69" t="s">
        <v>4</v>
      </c>
      <c r="R57" s="72">
        <f>213092.6+157.9+887.8-4763.1-63218.3-2905.1-100594.8+59873</f>
        <v>102529.99999999996</v>
      </c>
      <c r="S57" s="65">
        <f t="shared" si="4"/>
        <v>778976.7</v>
      </c>
      <c r="T57" s="65">
        <v>2733847</v>
      </c>
      <c r="U57" s="65">
        <f>T57/I57</f>
        <v>3.5095362929340506</v>
      </c>
    </row>
    <row r="58" spans="1:21" s="62" customFormat="1" ht="15.75">
      <c r="A58" s="64">
        <v>44286</v>
      </c>
      <c r="B58" s="65">
        <v>474986</v>
      </c>
      <c r="C58" s="65">
        <v>137912.3</v>
      </c>
      <c r="D58" s="65">
        <v>22891.199999999997</v>
      </c>
      <c r="E58" s="65">
        <v>5859.7</v>
      </c>
      <c r="F58" s="65">
        <v>13232.5</v>
      </c>
      <c r="G58" s="65">
        <v>48.9</v>
      </c>
      <c r="H58" s="67">
        <v>40457.9</v>
      </c>
      <c r="I58" s="65">
        <v>695388.5</v>
      </c>
      <c r="J58" s="73">
        <v>-119123.90000000002</v>
      </c>
      <c r="K58" s="65">
        <v>372644.30000000005</v>
      </c>
      <c r="L58" s="69">
        <v>299757</v>
      </c>
      <c r="M58" s="69">
        <v>0</v>
      </c>
      <c r="N58" s="65">
        <v>20</v>
      </c>
      <c r="O58" s="70"/>
      <c r="P58" s="65">
        <v>28260.000000000004</v>
      </c>
      <c r="Q58" s="69" t="s">
        <v>4</v>
      </c>
      <c r="R58" s="72">
        <v>113831.09999999998</v>
      </c>
      <c r="S58" s="65">
        <v>695388.5</v>
      </c>
      <c r="T58" s="65">
        <v>2839690.1999999993</v>
      </c>
      <c r="U58" s="65">
        <v>4.083602475450772</v>
      </c>
    </row>
    <row r="59" spans="1:21" s="62" customFormat="1" ht="15.75">
      <c r="A59" s="64">
        <v>44377</v>
      </c>
      <c r="B59" s="65">
        <v>536813.3</v>
      </c>
      <c r="C59" s="65">
        <v>203784.59999999998</v>
      </c>
      <c r="D59" s="65">
        <v>10404.800000000001</v>
      </c>
      <c r="E59" s="65">
        <v>3747.8</v>
      </c>
      <c r="F59" s="65">
        <v>12463.2</v>
      </c>
      <c r="G59" s="65">
        <v>59.9</v>
      </c>
      <c r="H59" s="67">
        <v>40052.9</v>
      </c>
      <c r="I59" s="65">
        <v>807326.5000000001</v>
      </c>
      <c r="J59" s="73">
        <v>-114588.39999999997</v>
      </c>
      <c r="K59" s="65">
        <v>404650.20000000007</v>
      </c>
      <c r="L59" s="69">
        <v>323679.4</v>
      </c>
      <c r="M59" s="69">
        <v>0</v>
      </c>
      <c r="N59" s="65">
        <v>20</v>
      </c>
      <c r="O59" s="70"/>
      <c r="P59" s="65">
        <v>28596.800000000003</v>
      </c>
      <c r="Q59" s="69" t="s">
        <v>4</v>
      </c>
      <c r="R59" s="72">
        <v>164968.49999999994</v>
      </c>
      <c r="S59" s="65">
        <v>807326.5</v>
      </c>
      <c r="T59" s="65">
        <v>3094992.5300000003</v>
      </c>
      <c r="U59" s="65">
        <v>3.833631783423435</v>
      </c>
    </row>
    <row r="60" spans="1:21" s="62" customFormat="1" ht="15.75">
      <c r="A60" s="64">
        <v>44440</v>
      </c>
      <c r="B60" s="65">
        <v>551949.2</v>
      </c>
      <c r="C60" s="65">
        <v>208470.7</v>
      </c>
      <c r="D60" s="65">
        <v>24343.3</v>
      </c>
      <c r="E60" s="65">
        <v>1656.8000000000002</v>
      </c>
      <c r="F60" s="65">
        <v>15452.1</v>
      </c>
      <c r="G60" s="65">
        <v>8.4</v>
      </c>
      <c r="H60" s="67">
        <v>39107</v>
      </c>
      <c r="I60" s="65">
        <v>840987.5000000001</v>
      </c>
      <c r="J60" s="73">
        <v>-150538.6000000001</v>
      </c>
      <c r="K60" s="65">
        <v>324019.3999999999</v>
      </c>
      <c r="L60" s="69">
        <v>425854.30000000005</v>
      </c>
      <c r="M60" s="69">
        <v>0</v>
      </c>
      <c r="N60" s="65">
        <v>20</v>
      </c>
      <c r="O60" s="70"/>
      <c r="P60" s="65">
        <v>28737.300000000003</v>
      </c>
      <c r="Q60" s="69" t="s">
        <v>4</v>
      </c>
      <c r="R60" s="72">
        <v>212895.10000000003</v>
      </c>
      <c r="S60" s="65">
        <v>840987.4999999999</v>
      </c>
      <c r="T60" s="65">
        <v>3326752.6</v>
      </c>
      <c r="U60" s="65">
        <v>3.9557693782606753</v>
      </c>
    </row>
    <row r="61" spans="1:21" s="62" customFormat="1" ht="15.75">
      <c r="A61" s="64">
        <v>44536</v>
      </c>
      <c r="B61" s="65">
        <v>567563.8</v>
      </c>
      <c r="C61" s="65">
        <v>156833.90000000002</v>
      </c>
      <c r="D61" s="65">
        <v>9985.4</v>
      </c>
      <c r="E61" s="65">
        <v>1729.1</v>
      </c>
      <c r="F61" s="65">
        <v>12685.6</v>
      </c>
      <c r="G61" s="65">
        <v>20.1</v>
      </c>
      <c r="H61" s="67">
        <v>38821.6</v>
      </c>
      <c r="I61" s="65">
        <v>787639.5</v>
      </c>
      <c r="J61" s="73">
        <v>-141348.09999999998</v>
      </c>
      <c r="K61" s="65">
        <v>152245.69999999995</v>
      </c>
      <c r="L61" s="69">
        <v>530461.7000000001</v>
      </c>
      <c r="M61" s="69">
        <v>0</v>
      </c>
      <c r="N61" s="65">
        <v>20</v>
      </c>
      <c r="O61" s="70"/>
      <c r="P61" s="65">
        <v>29929.7</v>
      </c>
      <c r="Q61" s="69" t="s">
        <v>4</v>
      </c>
      <c r="R61" s="72">
        <v>216330.5</v>
      </c>
      <c r="S61" s="65">
        <v>788020.4</v>
      </c>
      <c r="T61" s="65">
        <v>3289945.4</v>
      </c>
      <c r="U61" s="65">
        <v>4.176968524305853</v>
      </c>
    </row>
    <row r="62" spans="1:21" s="62" customFormat="1" ht="18">
      <c r="A62" s="64" t="s">
        <v>63</v>
      </c>
      <c r="B62" s="65">
        <v>546469.1</v>
      </c>
      <c r="C62" s="65">
        <v>254701.90000000002</v>
      </c>
      <c r="D62" s="65">
        <v>13289.3</v>
      </c>
      <c r="E62" s="65">
        <v>1577.2</v>
      </c>
      <c r="F62" s="65">
        <v>0</v>
      </c>
      <c r="G62" s="65">
        <v>0</v>
      </c>
      <c r="H62" s="67">
        <v>32873.3</v>
      </c>
      <c r="I62" s="65">
        <v>848910.8</v>
      </c>
      <c r="J62" s="73">
        <v>-113493.8999999999</v>
      </c>
      <c r="K62" s="65">
        <v>173399.6000000001</v>
      </c>
      <c r="L62" s="69">
        <v>563559.2000000001</v>
      </c>
      <c r="M62" s="69">
        <v>0</v>
      </c>
      <c r="N62" s="65">
        <v>20</v>
      </c>
      <c r="O62" s="70"/>
      <c r="P62" s="65">
        <v>32041.9</v>
      </c>
      <c r="Q62" s="69" t="s">
        <v>4</v>
      </c>
      <c r="R62" s="72">
        <v>193384</v>
      </c>
      <c r="S62" s="65">
        <v>848910.8000000003</v>
      </c>
      <c r="T62" s="65">
        <v>3460405.9</v>
      </c>
      <c r="U62" s="65">
        <v>4.076289169604156</v>
      </c>
    </row>
    <row r="63" spans="1:21" s="62" customFormat="1" ht="18">
      <c r="A63" s="64" t="s">
        <v>66</v>
      </c>
      <c r="B63" s="65">
        <v>612603.1</v>
      </c>
      <c r="C63" s="65">
        <v>346513.3</v>
      </c>
      <c r="D63" s="65">
        <v>21759.8</v>
      </c>
      <c r="E63" s="65">
        <v>13103.5</v>
      </c>
      <c r="F63" s="65">
        <v>0</v>
      </c>
      <c r="G63" s="65">
        <v>0</v>
      </c>
      <c r="H63" s="67">
        <v>54690.1</v>
      </c>
      <c r="I63" s="65">
        <v>1048669.8</v>
      </c>
      <c r="J63" s="73">
        <v>-232158.59999999998</v>
      </c>
      <c r="K63" s="65">
        <v>537846.2000000001</v>
      </c>
      <c r="L63" s="69">
        <v>574094.2000000001</v>
      </c>
      <c r="M63" s="69">
        <v>0</v>
      </c>
      <c r="N63" s="65">
        <v>20</v>
      </c>
      <c r="O63" s="70"/>
      <c r="P63" s="65">
        <v>35242.5</v>
      </c>
      <c r="Q63" s="69" t="s">
        <v>4</v>
      </c>
      <c r="R63" s="72">
        <v>133625.49999999997</v>
      </c>
      <c r="S63" s="65">
        <v>1048669.8000000003</v>
      </c>
      <c r="T63" s="65">
        <v>3735114.4999999995</v>
      </c>
      <c r="U63" s="65">
        <v>3.5617641511179206</v>
      </c>
    </row>
    <row r="64" spans="1:21" s="62" customFormat="1" ht="18">
      <c r="A64" s="64" t="s">
        <v>69</v>
      </c>
      <c r="B64" s="65">
        <v>637223.8</v>
      </c>
      <c r="C64" s="65">
        <v>584182.3999999999</v>
      </c>
      <c r="D64" s="65">
        <v>20995</v>
      </c>
      <c r="E64" s="65">
        <v>19632.3</v>
      </c>
      <c r="F64" s="65">
        <v>5675.6</v>
      </c>
      <c r="G64" s="65">
        <v>14.4</v>
      </c>
      <c r="H64" s="67">
        <v>46925.5</v>
      </c>
      <c r="I64" s="65">
        <v>1314649</v>
      </c>
      <c r="J64" s="73">
        <v>-252190.40000000002</v>
      </c>
      <c r="K64" s="65">
        <v>779486.0000000001</v>
      </c>
      <c r="L64" s="69">
        <v>633901.3</v>
      </c>
      <c r="M64" s="69">
        <v>0</v>
      </c>
      <c r="N64" s="65">
        <v>20</v>
      </c>
      <c r="O64" s="70"/>
      <c r="P64" s="65">
        <v>40607.799999999996</v>
      </c>
      <c r="Q64" s="69" t="s">
        <v>4</v>
      </c>
      <c r="R64" s="72">
        <v>112824.3</v>
      </c>
      <c r="S64" s="65">
        <v>1314649</v>
      </c>
      <c r="T64" s="65">
        <v>4113484.599999999</v>
      </c>
      <c r="U64" s="65">
        <v>3.1289603536761517</v>
      </c>
    </row>
    <row r="65" spans="1:21" s="62" customFormat="1" ht="18">
      <c r="A65" s="64" t="s">
        <v>72</v>
      </c>
      <c r="B65" s="65">
        <v>674447.9</v>
      </c>
      <c r="C65" s="65">
        <v>371789.60000000003</v>
      </c>
      <c r="D65" s="65">
        <v>17546.800000000003</v>
      </c>
      <c r="E65" s="65">
        <v>11924.7</v>
      </c>
      <c r="F65" s="65">
        <v>5662.5</v>
      </c>
      <c r="G65" s="65">
        <v>14.5</v>
      </c>
      <c r="H65" s="67">
        <v>56632.399999999994</v>
      </c>
      <c r="I65" s="65">
        <v>1138018.4000000001</v>
      </c>
      <c r="J65" s="73">
        <v>-252046.90000000002</v>
      </c>
      <c r="K65" s="65">
        <v>689619</v>
      </c>
      <c r="L65" s="69">
        <v>556219.9</v>
      </c>
      <c r="M65" s="69">
        <v>0</v>
      </c>
      <c r="N65" s="65">
        <v>20</v>
      </c>
      <c r="O65" s="70"/>
      <c r="P65" s="65">
        <v>47379.7</v>
      </c>
      <c r="Q65" s="69" t="s">
        <v>4</v>
      </c>
      <c r="R65" s="72">
        <v>96826.7</v>
      </c>
      <c r="S65" s="65">
        <v>1138018.4</v>
      </c>
      <c r="T65" s="65">
        <v>4512504.700000001</v>
      </c>
      <c r="U65" s="65">
        <v>3.9652299997961373</v>
      </c>
    </row>
    <row r="66" spans="1:21" s="62" customFormat="1" ht="18">
      <c r="A66" s="64" t="s">
        <v>75</v>
      </c>
      <c r="B66" s="65">
        <v>662739</v>
      </c>
      <c r="C66" s="65">
        <v>254040.2</v>
      </c>
      <c r="D66" s="65">
        <v>29320.4</v>
      </c>
      <c r="E66" s="65">
        <v>6846.4</v>
      </c>
      <c r="F66" s="65">
        <v>9081.2</v>
      </c>
      <c r="G66" s="65">
        <v>34.5</v>
      </c>
      <c r="H66" s="67">
        <v>57093.600000000006</v>
      </c>
      <c r="I66" s="65">
        <v>1019155.3</v>
      </c>
      <c r="J66" s="73">
        <v>-280639.7</v>
      </c>
      <c r="K66" s="65">
        <v>681001.8999999999</v>
      </c>
      <c r="L66" s="69">
        <v>469826</v>
      </c>
      <c r="M66" s="69">
        <v>0</v>
      </c>
      <c r="N66" s="65">
        <v>20</v>
      </c>
      <c r="O66" s="70"/>
      <c r="P66" s="65">
        <v>51542.7</v>
      </c>
      <c r="Q66" s="69">
        <v>0</v>
      </c>
      <c r="R66" s="72">
        <v>97404.4</v>
      </c>
      <c r="S66" s="65">
        <v>1019155.3</v>
      </c>
      <c r="T66" s="65">
        <v>4486042.6</v>
      </c>
      <c r="U66" s="65">
        <v>4.401726213855729</v>
      </c>
    </row>
    <row r="67" spans="1:21" s="62" customFormat="1" ht="18">
      <c r="A67" s="64" t="s">
        <v>78</v>
      </c>
      <c r="B67" s="65">
        <v>562287.5</v>
      </c>
      <c r="C67" s="65">
        <v>468790.4</v>
      </c>
      <c r="D67" s="65">
        <v>26582.4</v>
      </c>
      <c r="E67" s="65">
        <v>5294.2</v>
      </c>
      <c r="F67" s="65">
        <v>58474.1</v>
      </c>
      <c r="G67" s="65">
        <v>2.4</v>
      </c>
      <c r="H67" s="67">
        <v>130820.5</v>
      </c>
      <c r="I67" s="65">
        <v>1252251.5</v>
      </c>
      <c r="J67" s="73">
        <v>-532892</v>
      </c>
      <c r="K67" s="65">
        <v>849738.1000000001</v>
      </c>
      <c r="L67" s="69">
        <v>484489.2</v>
      </c>
      <c r="M67" s="69">
        <v>0</v>
      </c>
      <c r="N67" s="65">
        <v>20</v>
      </c>
      <c r="O67" s="70"/>
      <c r="P67" s="65">
        <v>52773.9</v>
      </c>
      <c r="Q67" s="69">
        <v>0</v>
      </c>
      <c r="R67" s="72">
        <v>398122.29999999993</v>
      </c>
      <c r="S67" s="65">
        <v>1252251.5</v>
      </c>
      <c r="T67" s="65">
        <v>4921466.699999999</v>
      </c>
      <c r="U67" s="65">
        <v>3.93009447383373</v>
      </c>
    </row>
    <row r="68" spans="1:21" s="62" customFormat="1" ht="18">
      <c r="A68" s="64" t="s">
        <v>81</v>
      </c>
      <c r="B68" s="65">
        <v>654947.4</v>
      </c>
      <c r="C68" s="65">
        <v>443111.5</v>
      </c>
      <c r="D68" s="65">
        <v>36145.8</v>
      </c>
      <c r="E68" s="65">
        <v>9531.5</v>
      </c>
      <c r="F68" s="65">
        <v>73920.8</v>
      </c>
      <c r="G68" s="65">
        <v>2.4</v>
      </c>
      <c r="H68" s="67">
        <v>81261.1</v>
      </c>
      <c r="I68" s="65">
        <v>1298920.5</v>
      </c>
      <c r="J68" s="73">
        <v>-701824.7</v>
      </c>
      <c r="K68" s="65">
        <v>983183.5</v>
      </c>
      <c r="L68" s="69">
        <v>603721.7000000001</v>
      </c>
      <c r="M68" s="69">
        <v>0</v>
      </c>
      <c r="N68" s="65">
        <v>20</v>
      </c>
      <c r="O68" s="70"/>
      <c r="P68" s="65">
        <v>54085.6</v>
      </c>
      <c r="Q68" s="69">
        <v>0</v>
      </c>
      <c r="R68" s="72">
        <v>359734.3999999999</v>
      </c>
      <c r="S68" s="65">
        <v>1298920.5</v>
      </c>
      <c r="T68" s="65">
        <v>5061379.300000001</v>
      </c>
      <c r="U68" s="65">
        <v>3.896604372630966</v>
      </c>
    </row>
    <row r="69" spans="1:21" s="62" customFormat="1" ht="18">
      <c r="A69" s="64" t="s">
        <v>86</v>
      </c>
      <c r="B69" s="65">
        <v>734642.4</v>
      </c>
      <c r="C69" s="65">
        <v>478326.9</v>
      </c>
      <c r="D69" s="65">
        <v>31283.7</v>
      </c>
      <c r="E69" s="65">
        <v>5436.4</v>
      </c>
      <c r="F69" s="65">
        <v>76288.8</v>
      </c>
      <c r="G69" s="65">
        <v>0.6</v>
      </c>
      <c r="H69" s="67">
        <v>90891.9</v>
      </c>
      <c r="I69" s="65">
        <v>1416870.7</v>
      </c>
      <c r="J69" s="73">
        <v>-651113.6000000001</v>
      </c>
      <c r="K69" s="65">
        <v>977822.6</v>
      </c>
      <c r="L69" s="69">
        <v>603094.4</v>
      </c>
      <c r="M69" s="69">
        <v>0</v>
      </c>
      <c r="N69" s="65">
        <v>20</v>
      </c>
      <c r="O69" s="70"/>
      <c r="P69" s="65">
        <v>60963.2</v>
      </c>
      <c r="Q69" s="69">
        <v>0</v>
      </c>
      <c r="R69" s="72">
        <v>426084.1</v>
      </c>
      <c r="S69" s="65">
        <v>1416870.6999999997</v>
      </c>
      <c r="T69" s="65">
        <v>5209781.899999999</v>
      </c>
      <c r="U69" s="65">
        <v>3.6769635366162907</v>
      </c>
    </row>
    <row r="70" spans="1:21" s="62" customFormat="1" ht="23.25" customHeight="1">
      <c r="A70" s="95" t="s">
        <v>5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7"/>
    </row>
  </sheetData>
  <sheetProtection/>
  <mergeCells count="7">
    <mergeCell ref="A70:U70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18"/>
  <sheetViews>
    <sheetView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1" sqref="B21:U21"/>
    </sheetView>
  </sheetViews>
  <sheetFormatPr defaultColWidth="8.88671875" defaultRowHeight="15.75"/>
  <cols>
    <col min="1" max="1" width="22.6640625" style="0" customWidth="1"/>
    <col min="2" max="2" width="20.99609375" style="0" customWidth="1"/>
    <col min="3" max="3" width="11.5546875" style="0" customWidth="1"/>
    <col min="4" max="4" width="13.21484375" style="0" customWidth="1"/>
    <col min="5" max="5" width="14.77734375" style="0" customWidth="1"/>
    <col min="6" max="6" width="14.21484375" style="0" customWidth="1"/>
    <col min="7" max="7" width="15.88671875" style="0" customWidth="1"/>
    <col min="8" max="8" width="13.6640625" style="0" customWidth="1"/>
    <col min="9" max="9" width="9.77734375" style="0" bestFit="1" customWidth="1"/>
    <col min="10" max="10" width="12.4453125" style="0" customWidth="1"/>
    <col min="11" max="11" width="11.5546875" style="0" customWidth="1"/>
    <col min="12" max="12" width="14.3359375" style="0" customWidth="1"/>
    <col min="13" max="13" width="15.5546875" style="0" customWidth="1"/>
    <col min="14" max="14" width="14.21484375" style="0" customWidth="1"/>
    <col min="15" max="15" width="15.4453125" style="0" customWidth="1"/>
    <col min="16" max="16" width="13.21484375" style="0" customWidth="1"/>
    <col min="17" max="19" width="11.5546875" style="0" customWidth="1"/>
    <col min="20" max="20" width="23.5546875" style="0" bestFit="1" customWidth="1"/>
    <col min="21" max="21" width="16.3359375" style="0" customWidth="1"/>
  </cols>
  <sheetData>
    <row r="1" spans="1:21" ht="18.75">
      <c r="A1" s="54" t="s">
        <v>35</v>
      </c>
      <c r="B1" s="20"/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2"/>
      <c r="P1" s="20"/>
      <c r="Q1" s="23"/>
      <c r="R1" s="20"/>
      <c r="S1" s="20"/>
      <c r="T1" s="20"/>
      <c r="U1" s="24" t="s">
        <v>60</v>
      </c>
    </row>
    <row r="2" spans="1:21" s="40" customFormat="1" ht="18.75">
      <c r="A2" s="98" t="s">
        <v>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1:21" s="40" customFormat="1" ht="18.75">
      <c r="A3" s="25"/>
      <c r="B3" s="20"/>
      <c r="C3" s="20"/>
      <c r="D3" s="20"/>
      <c r="E3" s="26"/>
      <c r="F3" s="20"/>
      <c r="G3" s="20"/>
      <c r="H3" s="20"/>
      <c r="I3" s="20"/>
      <c r="J3" s="27"/>
      <c r="K3" s="26"/>
      <c r="L3" s="26"/>
      <c r="M3" s="26"/>
      <c r="N3" s="26"/>
      <c r="O3" s="28"/>
      <c r="P3" s="26"/>
      <c r="Q3" s="29"/>
      <c r="R3" s="26"/>
      <c r="S3" s="26"/>
      <c r="T3" s="20"/>
      <c r="U3" s="30"/>
    </row>
    <row r="4" spans="1:21" s="63" customFormat="1" ht="18.75">
      <c r="A4" s="102" t="s">
        <v>43</v>
      </c>
      <c r="B4" s="104" t="s">
        <v>1</v>
      </c>
      <c r="C4" s="104"/>
      <c r="D4" s="104"/>
      <c r="E4" s="104"/>
      <c r="F4" s="104"/>
      <c r="G4" s="104"/>
      <c r="H4" s="104"/>
      <c r="I4" s="104"/>
      <c r="J4" s="104" t="s">
        <v>2</v>
      </c>
      <c r="K4" s="104"/>
      <c r="L4" s="104"/>
      <c r="M4" s="104"/>
      <c r="N4" s="104"/>
      <c r="O4" s="104"/>
      <c r="P4" s="104"/>
      <c r="Q4" s="104"/>
      <c r="R4" s="104"/>
      <c r="S4" s="104"/>
      <c r="T4" s="104" t="s">
        <v>19</v>
      </c>
      <c r="U4" s="101" t="s">
        <v>20</v>
      </c>
    </row>
    <row r="5" spans="1:21" s="40" customFormat="1" ht="75">
      <c r="A5" s="103"/>
      <c r="B5" s="74" t="s">
        <v>47</v>
      </c>
      <c r="C5" s="74" t="s">
        <v>41</v>
      </c>
      <c r="D5" s="75" t="s">
        <v>42</v>
      </c>
      <c r="E5" s="74" t="s">
        <v>50</v>
      </c>
      <c r="F5" s="75" t="s">
        <v>8</v>
      </c>
      <c r="G5" s="75" t="s">
        <v>9</v>
      </c>
      <c r="H5" s="74" t="s">
        <v>45</v>
      </c>
      <c r="I5" s="74" t="s">
        <v>21</v>
      </c>
      <c r="J5" s="76" t="s">
        <v>10</v>
      </c>
      <c r="K5" s="74" t="s">
        <v>11</v>
      </c>
      <c r="L5" s="74" t="s">
        <v>12</v>
      </c>
      <c r="M5" s="75" t="s">
        <v>48</v>
      </c>
      <c r="N5" s="75" t="s">
        <v>49</v>
      </c>
      <c r="O5" s="75" t="s">
        <v>15</v>
      </c>
      <c r="P5" s="74" t="s">
        <v>16</v>
      </c>
      <c r="Q5" s="77" t="s">
        <v>17</v>
      </c>
      <c r="R5" s="74" t="s">
        <v>18</v>
      </c>
      <c r="S5" s="74" t="s">
        <v>21</v>
      </c>
      <c r="T5" s="104"/>
      <c r="U5" s="101"/>
    </row>
    <row r="6" spans="1:21" s="62" customFormat="1" ht="15.75">
      <c r="A6" s="83">
        <v>2008</v>
      </c>
      <c r="B6" s="65">
        <v>124230.9</v>
      </c>
      <c r="C6" s="65">
        <v>24965.9</v>
      </c>
      <c r="D6" s="66" t="s">
        <v>4</v>
      </c>
      <c r="E6" s="65">
        <v>1127</v>
      </c>
      <c r="F6" s="65">
        <v>4527.2</v>
      </c>
      <c r="G6" s="65">
        <v>56.9</v>
      </c>
      <c r="H6" s="67">
        <v>1675.3</v>
      </c>
      <c r="I6" s="65">
        <f aca="true" t="shared" si="0" ref="I6:I14">SUM(B6:H6)</f>
        <v>156583.19999999998</v>
      </c>
      <c r="J6" s="68">
        <v>159092.20000000007</v>
      </c>
      <c r="K6" s="65">
        <v>76990.5</v>
      </c>
      <c r="L6" s="69" t="s">
        <v>4</v>
      </c>
      <c r="M6" s="65">
        <v>380.9</v>
      </c>
      <c r="N6" s="65">
        <v>25</v>
      </c>
      <c r="O6" s="70" t="s">
        <v>4</v>
      </c>
      <c r="P6" s="65">
        <v>3901.2000000000003</v>
      </c>
      <c r="Q6" s="71">
        <v>-12000</v>
      </c>
      <c r="R6" s="72">
        <v>-71806.6</v>
      </c>
      <c r="S6" s="65">
        <f aca="true" t="shared" si="1" ref="S6:S18">SUM(J6:R6)</f>
        <v>156583.20000000007</v>
      </c>
      <c r="T6" s="65">
        <v>482598.3</v>
      </c>
      <c r="U6" s="65">
        <f aca="true" t="shared" si="2" ref="U6:U16">T6/I6</f>
        <v>3.082056695737474</v>
      </c>
    </row>
    <row r="7" spans="1:21" s="62" customFormat="1" ht="15.75">
      <c r="A7" s="83">
        <v>2009</v>
      </c>
      <c r="B7" s="65">
        <v>136206.2</v>
      </c>
      <c r="C7" s="65">
        <v>53891.1</v>
      </c>
      <c r="D7" s="66" t="s">
        <v>4</v>
      </c>
      <c r="E7" s="65">
        <v>1014.1</v>
      </c>
      <c r="F7" s="65">
        <v>6100.8</v>
      </c>
      <c r="G7" s="65">
        <v>29.2</v>
      </c>
      <c r="H7" s="67">
        <v>901.8</v>
      </c>
      <c r="I7" s="65">
        <f t="shared" si="0"/>
        <v>198143.2</v>
      </c>
      <c r="J7" s="68">
        <v>144966.20000000007</v>
      </c>
      <c r="K7" s="65">
        <v>167752.20000000004</v>
      </c>
      <c r="L7" s="69" t="s">
        <v>4</v>
      </c>
      <c r="M7" s="65">
        <v>380.9</v>
      </c>
      <c r="N7" s="65">
        <v>20</v>
      </c>
      <c r="O7" s="70" t="s">
        <v>4</v>
      </c>
      <c r="P7" s="65">
        <v>4342.7</v>
      </c>
      <c r="Q7" s="71">
        <v>-10000</v>
      </c>
      <c r="R7" s="72">
        <v>-109318.79999999999</v>
      </c>
      <c r="S7" s="65">
        <f t="shared" si="1"/>
        <v>198143.2000000002</v>
      </c>
      <c r="T7" s="65">
        <v>565309.9</v>
      </c>
      <c r="U7" s="65">
        <f t="shared" si="2"/>
        <v>2.8530370964030056</v>
      </c>
    </row>
    <row r="8" spans="1:21" s="62" customFormat="1" ht="15.75">
      <c r="A8" s="83">
        <v>2010</v>
      </c>
      <c r="B8" s="65">
        <v>155835.2</v>
      </c>
      <c r="C8" s="65">
        <v>47450.5</v>
      </c>
      <c r="D8" s="65">
        <v>2738.884497</v>
      </c>
      <c r="E8" s="65">
        <v>1428</v>
      </c>
      <c r="F8" s="65">
        <v>3735.6</v>
      </c>
      <c r="G8" s="65">
        <v>28.6</v>
      </c>
      <c r="H8" s="67">
        <v>422.0155030000001</v>
      </c>
      <c r="I8" s="65">
        <f t="shared" si="0"/>
        <v>211638.80000000002</v>
      </c>
      <c r="J8" s="73">
        <v>141613.59999999998</v>
      </c>
      <c r="K8" s="65">
        <v>150905.3</v>
      </c>
      <c r="L8" s="69" t="s">
        <v>4</v>
      </c>
      <c r="M8" s="65">
        <v>380.9</v>
      </c>
      <c r="N8" s="65">
        <v>20</v>
      </c>
      <c r="O8" s="70" t="s">
        <v>4</v>
      </c>
      <c r="P8" s="65">
        <v>4671.999999999999</v>
      </c>
      <c r="Q8" s="71">
        <v>-7000</v>
      </c>
      <c r="R8" s="72">
        <v>-78953</v>
      </c>
      <c r="S8" s="65">
        <f t="shared" si="1"/>
        <v>211638.8</v>
      </c>
      <c r="T8" s="65">
        <v>706363.915503</v>
      </c>
      <c r="U8" s="65">
        <f t="shared" si="2"/>
        <v>3.3375917624887306</v>
      </c>
    </row>
    <row r="9" spans="1:21" s="62" customFormat="1" ht="15.75">
      <c r="A9" s="83">
        <v>2011</v>
      </c>
      <c r="B9" s="65">
        <v>170106</v>
      </c>
      <c r="C9" s="65">
        <v>34979.700000000004</v>
      </c>
      <c r="D9" s="65">
        <v>500</v>
      </c>
      <c r="E9" s="65">
        <v>278</v>
      </c>
      <c r="F9" s="65">
        <v>5041.499999999998</v>
      </c>
      <c r="G9" s="65">
        <v>23.6</v>
      </c>
      <c r="H9" s="67">
        <v>397.3</v>
      </c>
      <c r="I9" s="65">
        <f t="shared" si="0"/>
        <v>211326.1</v>
      </c>
      <c r="J9" s="73">
        <v>82293.99999999994</v>
      </c>
      <c r="K9" s="65">
        <v>211644.80000000005</v>
      </c>
      <c r="L9" s="65">
        <v>25301.3</v>
      </c>
      <c r="M9" s="65">
        <v>380.9</v>
      </c>
      <c r="N9" s="65">
        <v>20</v>
      </c>
      <c r="O9" s="70" t="s">
        <v>4</v>
      </c>
      <c r="P9" s="65">
        <v>6184.2</v>
      </c>
      <c r="Q9" s="69" t="s">
        <v>4</v>
      </c>
      <c r="R9" s="72">
        <v>-114499.1</v>
      </c>
      <c r="S9" s="65">
        <f t="shared" si="1"/>
        <v>211326.1</v>
      </c>
      <c r="T9" s="65">
        <v>755801.5666666665</v>
      </c>
      <c r="U9" s="65">
        <f t="shared" si="2"/>
        <v>3.576470519574565</v>
      </c>
    </row>
    <row r="10" spans="1:21" s="62" customFormat="1" ht="15.75">
      <c r="A10" s="83">
        <v>2012</v>
      </c>
      <c r="B10" s="65">
        <v>198246.9</v>
      </c>
      <c r="C10" s="65">
        <v>39879.9</v>
      </c>
      <c r="D10" s="65">
        <v>22413.6</v>
      </c>
      <c r="E10" s="65">
        <v>2827.5</v>
      </c>
      <c r="F10" s="65">
        <v>3234.3</v>
      </c>
      <c r="G10" s="65">
        <v>14.5</v>
      </c>
      <c r="H10" s="67">
        <v>669.4</v>
      </c>
      <c r="I10" s="65">
        <f t="shared" si="0"/>
        <v>267286.10000000003</v>
      </c>
      <c r="J10" s="73">
        <v>66928.90000000002</v>
      </c>
      <c r="K10" s="65">
        <v>285507.4</v>
      </c>
      <c r="L10" s="69" t="s">
        <v>4</v>
      </c>
      <c r="M10" s="69" t="s">
        <v>4</v>
      </c>
      <c r="N10" s="65">
        <v>20</v>
      </c>
      <c r="O10" s="70" t="s">
        <v>4</v>
      </c>
      <c r="P10" s="65">
        <v>8125.5</v>
      </c>
      <c r="Q10" s="71">
        <v>-6800</v>
      </c>
      <c r="R10" s="72">
        <v>-86495.70000000001</v>
      </c>
      <c r="S10" s="65">
        <f t="shared" si="1"/>
        <v>267286.10000000003</v>
      </c>
      <c r="T10" s="65">
        <v>877253.3</v>
      </c>
      <c r="U10" s="65">
        <f t="shared" si="2"/>
        <v>3.282076022658866</v>
      </c>
    </row>
    <row r="11" spans="1:21" s="62" customFormat="1" ht="15.75">
      <c r="A11" s="83">
        <v>2013</v>
      </c>
      <c r="B11" s="65">
        <v>211683.7</v>
      </c>
      <c r="C11" s="65">
        <v>82710.8</v>
      </c>
      <c r="D11" s="65">
        <v>5135.8</v>
      </c>
      <c r="E11" s="65">
        <v>2674</v>
      </c>
      <c r="F11" s="65">
        <v>3566.2</v>
      </c>
      <c r="G11" s="65">
        <v>28</v>
      </c>
      <c r="H11" s="67">
        <v>787.6</v>
      </c>
      <c r="I11" s="65">
        <f t="shared" si="0"/>
        <v>306586.1</v>
      </c>
      <c r="J11" s="73">
        <v>118133.79999999999</v>
      </c>
      <c r="K11" s="65">
        <v>229473.99999999997</v>
      </c>
      <c r="L11" s="69" t="s">
        <v>4</v>
      </c>
      <c r="M11" s="69" t="s">
        <v>4</v>
      </c>
      <c r="N11" s="65">
        <v>20</v>
      </c>
      <c r="O11" s="70" t="s">
        <v>4</v>
      </c>
      <c r="P11" s="65">
        <v>10118.699999999999</v>
      </c>
      <c r="Q11" s="69" t="s">
        <v>4</v>
      </c>
      <c r="R11" s="72">
        <v>-51160.40000000001</v>
      </c>
      <c r="S11" s="65">
        <f t="shared" si="1"/>
        <v>306586.0999999999</v>
      </c>
      <c r="T11" s="65">
        <v>986748.8</v>
      </c>
      <c r="U11" s="65">
        <f t="shared" si="2"/>
        <v>3.2185046875902077</v>
      </c>
    </row>
    <row r="12" spans="1:21" s="62" customFormat="1" ht="15.75">
      <c r="A12" s="83">
        <v>2014</v>
      </c>
      <c r="B12" s="65">
        <v>227340.9</v>
      </c>
      <c r="C12" s="65">
        <v>120095.4</v>
      </c>
      <c r="D12" s="65">
        <v>1035.1</v>
      </c>
      <c r="E12" s="65">
        <v>1624.7</v>
      </c>
      <c r="F12" s="65">
        <v>3555.9</v>
      </c>
      <c r="G12" s="65">
        <v>22.9</v>
      </c>
      <c r="H12" s="67">
        <v>1326.1</v>
      </c>
      <c r="I12" s="65">
        <f t="shared" si="0"/>
        <v>355001</v>
      </c>
      <c r="J12" s="73">
        <v>128675.9</v>
      </c>
      <c r="K12" s="65">
        <v>263591.1</v>
      </c>
      <c r="L12" s="69">
        <v>0</v>
      </c>
      <c r="M12" s="69">
        <v>2000</v>
      </c>
      <c r="N12" s="65">
        <v>20</v>
      </c>
      <c r="O12" s="70" t="s">
        <v>4</v>
      </c>
      <c r="P12" s="65">
        <v>12103.3</v>
      </c>
      <c r="Q12" s="69" t="s">
        <v>4</v>
      </c>
      <c r="R12" s="72">
        <v>-51389.29999999999</v>
      </c>
      <c r="S12" s="65">
        <f t="shared" si="1"/>
        <v>355001</v>
      </c>
      <c r="T12" s="65">
        <v>1107089.4000000001</v>
      </c>
      <c r="U12" s="65">
        <f t="shared" si="2"/>
        <v>3.1185529054847736</v>
      </c>
    </row>
    <row r="13" spans="1:21" s="62" customFormat="1" ht="15.75">
      <c r="A13" s="83">
        <v>2015</v>
      </c>
      <c r="B13" s="65">
        <v>230723.7</v>
      </c>
      <c r="C13" s="65">
        <v>84351</v>
      </c>
      <c r="D13" s="65">
        <v>1611</v>
      </c>
      <c r="E13" s="65">
        <v>2209.5</v>
      </c>
      <c r="F13" s="65">
        <v>4368.5</v>
      </c>
      <c r="G13" s="65">
        <v>44.5</v>
      </c>
      <c r="H13" s="67">
        <v>1200</v>
      </c>
      <c r="I13" s="65">
        <f t="shared" si="0"/>
        <v>324508.2</v>
      </c>
      <c r="J13" s="73">
        <v>-132985.6</v>
      </c>
      <c r="K13" s="65">
        <v>452581.6</v>
      </c>
      <c r="L13" s="69">
        <v>19800</v>
      </c>
      <c r="M13" s="69">
        <v>2000</v>
      </c>
      <c r="N13" s="65">
        <v>20</v>
      </c>
      <c r="O13" s="70" t="s">
        <v>4</v>
      </c>
      <c r="P13" s="65">
        <v>14933.9</v>
      </c>
      <c r="Q13" s="69" t="s">
        <v>4</v>
      </c>
      <c r="R13" s="72">
        <v>-31841.69999999999</v>
      </c>
      <c r="S13" s="65">
        <f t="shared" si="1"/>
        <v>324508.2</v>
      </c>
      <c r="T13" s="65">
        <v>1106380</v>
      </c>
      <c r="U13" s="65">
        <f t="shared" si="2"/>
        <v>3.4094053709582686</v>
      </c>
    </row>
    <row r="14" spans="1:21" s="62" customFormat="1" ht="15.75">
      <c r="A14" s="83">
        <v>2016</v>
      </c>
      <c r="B14" s="65">
        <v>267512.5</v>
      </c>
      <c r="C14" s="65">
        <v>134302.8</v>
      </c>
      <c r="D14" s="65">
        <v>5995.8</v>
      </c>
      <c r="E14" s="65">
        <v>3575.7</v>
      </c>
      <c r="F14" s="65">
        <v>6509.8</v>
      </c>
      <c r="G14" s="65">
        <v>7.7</v>
      </c>
      <c r="H14" s="67">
        <v>1319.7</v>
      </c>
      <c r="I14" s="65">
        <f t="shared" si="0"/>
        <v>419224</v>
      </c>
      <c r="J14" s="73">
        <v>-162073.80000000002</v>
      </c>
      <c r="K14" s="65">
        <v>509226.20000000007</v>
      </c>
      <c r="L14" s="69">
        <v>87000</v>
      </c>
      <c r="M14" s="69">
        <v>2000</v>
      </c>
      <c r="N14" s="65">
        <v>20</v>
      </c>
      <c r="O14" s="70"/>
      <c r="P14" s="65">
        <v>15731</v>
      </c>
      <c r="Q14" s="69" t="s">
        <v>4</v>
      </c>
      <c r="R14" s="72">
        <v>-32679.39999999999</v>
      </c>
      <c r="S14" s="65">
        <f t="shared" si="1"/>
        <v>419224.00000000006</v>
      </c>
      <c r="T14" s="65">
        <v>1187101.8</v>
      </c>
      <c r="U14" s="65">
        <f t="shared" si="2"/>
        <v>2.8316646947693838</v>
      </c>
    </row>
    <row r="15" spans="1:21" s="62" customFormat="1" ht="15.75">
      <c r="A15" s="83">
        <v>2017</v>
      </c>
      <c r="B15" s="65">
        <v>308146.3</v>
      </c>
      <c r="C15" s="65">
        <v>221165.7</v>
      </c>
      <c r="D15" s="65">
        <v>2688.4</v>
      </c>
      <c r="E15" s="65">
        <v>2169.6</v>
      </c>
      <c r="F15" s="65">
        <v>18092.1</v>
      </c>
      <c r="G15" s="65">
        <v>20</v>
      </c>
      <c r="H15" s="67">
        <v>28588.8</v>
      </c>
      <c r="I15" s="65">
        <f>H15+F15+E15+C15+B15+G15+D15</f>
        <v>580870.9</v>
      </c>
      <c r="J15" s="73">
        <v>-144480.39999999997</v>
      </c>
      <c r="K15" s="65">
        <v>528460.3999999999</v>
      </c>
      <c r="L15" s="69">
        <v>159990</v>
      </c>
      <c r="M15" s="69">
        <v>0</v>
      </c>
      <c r="N15" s="65">
        <v>20</v>
      </c>
      <c r="O15" s="70"/>
      <c r="P15" s="65">
        <v>22686.1</v>
      </c>
      <c r="Q15" s="69" t="s">
        <v>4</v>
      </c>
      <c r="R15" s="72">
        <v>14194.800000000032</v>
      </c>
      <c r="S15" s="65">
        <f t="shared" si="1"/>
        <v>580870.9</v>
      </c>
      <c r="T15" s="65">
        <v>1499512.9000000001</v>
      </c>
      <c r="U15" s="65">
        <f t="shared" si="2"/>
        <v>2.581490826963444</v>
      </c>
    </row>
    <row r="16" spans="1:21" s="62" customFormat="1" ht="15.75">
      <c r="A16" s="83">
        <v>2018</v>
      </c>
      <c r="B16" s="65">
        <v>350207.6</v>
      </c>
      <c r="C16" s="65">
        <v>166378.19999999998</v>
      </c>
      <c r="D16" s="65">
        <v>4497.5</v>
      </c>
      <c r="E16" s="65">
        <v>3538.7999999999997</v>
      </c>
      <c r="F16" s="65">
        <v>9097.099999999999</v>
      </c>
      <c r="G16" s="65">
        <v>17.8</v>
      </c>
      <c r="H16" s="67">
        <v>31091.8</v>
      </c>
      <c r="I16" s="65">
        <f>H16+F16+E16+C16+B16+G16+D16</f>
        <v>564828.8</v>
      </c>
      <c r="J16" s="73">
        <v>-165217.1</v>
      </c>
      <c r="K16" s="65">
        <v>441299.1</v>
      </c>
      <c r="L16" s="69">
        <v>248180</v>
      </c>
      <c r="M16" s="69">
        <v>0</v>
      </c>
      <c r="N16" s="65">
        <v>20</v>
      </c>
      <c r="O16" s="70"/>
      <c r="P16" s="65">
        <v>24119.000000000004</v>
      </c>
      <c r="Q16" s="69" t="s">
        <v>4</v>
      </c>
      <c r="R16" s="72">
        <v>16427.800000000032</v>
      </c>
      <c r="S16" s="65">
        <f t="shared" si="1"/>
        <v>564828.8</v>
      </c>
      <c r="T16" s="65">
        <v>1797468.9</v>
      </c>
      <c r="U16" s="65">
        <f t="shared" si="2"/>
        <v>3.1823251576406864</v>
      </c>
    </row>
    <row r="17" spans="1:21" s="62" customFormat="1" ht="15.75">
      <c r="A17" s="83">
        <v>2019</v>
      </c>
      <c r="B17" s="65">
        <v>414814.9</v>
      </c>
      <c r="C17" s="65">
        <v>208123.19999999998</v>
      </c>
      <c r="D17" s="65">
        <v>22962.1</v>
      </c>
      <c r="E17" s="65">
        <v>4340</v>
      </c>
      <c r="F17" s="65">
        <v>5405</v>
      </c>
      <c r="G17" s="65">
        <v>1.2</v>
      </c>
      <c r="H17" s="67">
        <f>40326.4+2178.8</f>
        <v>42505.200000000004</v>
      </c>
      <c r="I17" s="65">
        <f>H17+F17+E17+C17+B17+G17+D17</f>
        <v>698151.6</v>
      </c>
      <c r="J17" s="73">
        <f>235831.3+5935-371157</f>
        <v>-129390.70000000001</v>
      </c>
      <c r="K17" s="65">
        <f>746479.4-421651.4</f>
        <v>324828</v>
      </c>
      <c r="L17" s="69">
        <v>422379.9</v>
      </c>
      <c r="M17" s="69">
        <v>0</v>
      </c>
      <c r="N17" s="65">
        <v>20</v>
      </c>
      <c r="O17" s="70"/>
      <c r="P17" s="65">
        <v>24491.3</v>
      </c>
      <c r="Q17" s="69" t="s">
        <v>4</v>
      </c>
      <c r="R17" s="72">
        <f>199796.9+157.9+887.8-5935-59688.3-3847.6-132146.2+56597.6</f>
        <v>55823.09999999997</v>
      </c>
      <c r="S17" s="65">
        <f t="shared" si="1"/>
        <v>698151.6</v>
      </c>
      <c r="T17" s="65">
        <v>2202818.5999999996</v>
      </c>
      <c r="U17" s="65">
        <f>T17/I17</f>
        <v>3.1552152856199136</v>
      </c>
    </row>
    <row r="18" spans="1:21" s="62" customFormat="1" ht="15.75">
      <c r="A18" s="83">
        <v>2020</v>
      </c>
      <c r="B18" s="65">
        <v>503703.5</v>
      </c>
      <c r="C18" s="65">
        <v>216248.8</v>
      </c>
      <c r="D18" s="65">
        <v>9345.300000000001</v>
      </c>
      <c r="E18" s="65">
        <v>4005.2</v>
      </c>
      <c r="F18" s="65">
        <v>5956.7</v>
      </c>
      <c r="G18" s="65">
        <v>4.7</v>
      </c>
      <c r="H18" s="67">
        <f>5393.2+34319.3</f>
        <v>39712.5</v>
      </c>
      <c r="I18" s="65">
        <f>H18+F18+E18+C18+B18+G18+D18</f>
        <v>778976.7</v>
      </c>
      <c r="J18" s="73">
        <f>246109.6+4763.1-343978</f>
        <v>-93105.29999999999</v>
      </c>
      <c r="K18" s="65">
        <f>894667.8-456634.2</f>
        <v>438033.60000000003</v>
      </c>
      <c r="L18" s="69">
        <f>298901.2+4000</f>
        <v>302901.2</v>
      </c>
      <c r="M18" s="69">
        <v>0</v>
      </c>
      <c r="N18" s="65">
        <v>20</v>
      </c>
      <c r="O18" s="70"/>
      <c r="P18" s="65">
        <v>28597.200000000004</v>
      </c>
      <c r="Q18" s="69" t="s">
        <v>4</v>
      </c>
      <c r="R18" s="72">
        <f>213092.6+157.9+887.8-4763.1-63218.3-2905.1-100594.8+59873</f>
        <v>102529.99999999996</v>
      </c>
      <c r="S18" s="65">
        <f t="shared" si="1"/>
        <v>778976.7</v>
      </c>
      <c r="T18" s="65">
        <v>2733847</v>
      </c>
      <c r="U18" s="65">
        <f>T18/I18</f>
        <v>3.5095362929340506</v>
      </c>
    </row>
    <row r="19" spans="1:21" s="62" customFormat="1" ht="15.75">
      <c r="A19" s="83">
        <v>2021</v>
      </c>
      <c r="B19" s="65">
        <v>567563.8</v>
      </c>
      <c r="C19" s="65">
        <v>156833.90000000002</v>
      </c>
      <c r="D19" s="65">
        <v>9985.4</v>
      </c>
      <c r="E19" s="65">
        <v>1729.1</v>
      </c>
      <c r="F19" s="65">
        <v>12685.6</v>
      </c>
      <c r="G19" s="65">
        <v>20.1</v>
      </c>
      <c r="H19" s="67">
        <v>38821.6</v>
      </c>
      <c r="I19" s="65">
        <v>787639.5</v>
      </c>
      <c r="J19" s="73">
        <v>-141348.09999999998</v>
      </c>
      <c r="K19" s="65">
        <v>152245.69999999995</v>
      </c>
      <c r="L19" s="69">
        <v>530461.7000000001</v>
      </c>
      <c r="M19" s="69">
        <v>0</v>
      </c>
      <c r="N19" s="65">
        <v>20</v>
      </c>
      <c r="O19" s="70"/>
      <c r="P19" s="65">
        <v>29929.7</v>
      </c>
      <c r="Q19" s="69" t="s">
        <v>4</v>
      </c>
      <c r="R19" s="72">
        <v>216330.5</v>
      </c>
      <c r="S19" s="65">
        <v>787639.5000000001</v>
      </c>
      <c r="T19" s="65">
        <v>3289945.4</v>
      </c>
      <c r="U19" s="65">
        <v>4.176968524305853</v>
      </c>
    </row>
    <row r="20" spans="1:21" s="62" customFormat="1" ht="15.75">
      <c r="A20" s="83" t="s">
        <v>88</v>
      </c>
      <c r="B20" s="65">
        <v>674447.9</v>
      </c>
      <c r="C20" s="65">
        <v>371789.60000000003</v>
      </c>
      <c r="D20" s="65">
        <v>17546.800000000003</v>
      </c>
      <c r="E20" s="65">
        <v>11924.7</v>
      </c>
      <c r="F20" s="65">
        <v>5662.5</v>
      </c>
      <c r="G20" s="65">
        <v>14.5</v>
      </c>
      <c r="H20" s="67">
        <v>56632.399999999994</v>
      </c>
      <c r="I20" s="65">
        <v>1138018.4000000001</v>
      </c>
      <c r="J20" s="73">
        <v>-252046.90000000002</v>
      </c>
      <c r="K20" s="65">
        <v>689619</v>
      </c>
      <c r="L20" s="69">
        <v>556219.9</v>
      </c>
      <c r="M20" s="69">
        <v>0</v>
      </c>
      <c r="N20" s="65">
        <v>20</v>
      </c>
      <c r="O20" s="70"/>
      <c r="P20" s="65">
        <v>47379.7</v>
      </c>
      <c r="Q20" s="69" t="s">
        <v>4</v>
      </c>
      <c r="R20" s="72">
        <v>96826.7</v>
      </c>
      <c r="S20" s="65">
        <v>1138018.4</v>
      </c>
      <c r="T20" s="65">
        <v>4512504.700000001</v>
      </c>
      <c r="U20" s="65">
        <v>3.9652299997961373</v>
      </c>
    </row>
    <row r="21" spans="1:21" s="62" customFormat="1" ht="15.75">
      <c r="A21" s="83" t="s">
        <v>87</v>
      </c>
      <c r="B21" s="65">
        <v>734642.4</v>
      </c>
      <c r="C21" s="65">
        <v>478326.9</v>
      </c>
      <c r="D21" s="65">
        <v>31283.7</v>
      </c>
      <c r="E21" s="65">
        <v>5436.4</v>
      </c>
      <c r="F21" s="65">
        <v>76288.8</v>
      </c>
      <c r="G21" s="65">
        <v>0.6</v>
      </c>
      <c r="H21" s="67">
        <v>90891.9</v>
      </c>
      <c r="I21" s="65">
        <v>1416870.7</v>
      </c>
      <c r="J21" s="73">
        <v>-651113.6000000001</v>
      </c>
      <c r="K21" s="65">
        <v>977822.6</v>
      </c>
      <c r="L21" s="69">
        <v>603094.4</v>
      </c>
      <c r="M21" s="69">
        <v>0</v>
      </c>
      <c r="N21" s="65">
        <v>20</v>
      </c>
      <c r="O21" s="70"/>
      <c r="P21" s="65">
        <v>60963.2</v>
      </c>
      <c r="Q21" s="69">
        <v>0</v>
      </c>
      <c r="R21" s="72">
        <v>426084.1</v>
      </c>
      <c r="S21" s="65">
        <v>1416870.6999999997</v>
      </c>
      <c r="T21" s="65">
        <v>5209781.899999999</v>
      </c>
      <c r="U21" s="65">
        <v>3.6769635366162907</v>
      </c>
    </row>
    <row r="22" spans="1:21" s="62" customFormat="1" ht="15.75">
      <c r="A22" s="95" t="s">
        <v>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</row>
    <row r="23" s="40" customFormat="1" ht="18.75"/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="40" customFormat="1" ht="18.75"/>
    <row r="58" s="40" customFormat="1" ht="18.75"/>
    <row r="59" spans="1:21" ht="18.75">
      <c r="A59" s="31"/>
      <c r="B59" s="32"/>
      <c r="C59" s="32"/>
      <c r="D59" s="32"/>
      <c r="E59" s="32"/>
      <c r="F59" s="32"/>
      <c r="G59" s="32"/>
      <c r="H59" s="33"/>
      <c r="I59" s="32"/>
      <c r="J59" s="34"/>
      <c r="K59" s="32"/>
      <c r="L59" s="32"/>
      <c r="M59" s="32"/>
      <c r="N59" s="32"/>
      <c r="O59" s="36"/>
      <c r="P59" s="32"/>
      <c r="Q59" s="35"/>
      <c r="R59" s="38"/>
      <c r="S59" s="32"/>
      <c r="T59" s="32"/>
      <c r="U59" s="32"/>
    </row>
    <row r="60" spans="1:21" ht="18.75">
      <c r="A60" s="31"/>
      <c r="B60" s="32"/>
      <c r="C60" s="32"/>
      <c r="D60" s="32"/>
      <c r="E60" s="32"/>
      <c r="F60" s="32"/>
      <c r="G60" s="32"/>
      <c r="H60" s="33"/>
      <c r="I60" s="32"/>
      <c r="J60" s="34"/>
      <c r="K60" s="32"/>
      <c r="L60" s="32"/>
      <c r="M60" s="32"/>
      <c r="N60" s="32"/>
      <c r="O60" s="36"/>
      <c r="P60" s="32"/>
      <c r="Q60" s="35"/>
      <c r="R60" s="38"/>
      <c r="S60" s="32"/>
      <c r="T60" s="32"/>
      <c r="U60" s="32"/>
    </row>
    <row r="61" spans="1:21" ht="18.75">
      <c r="A61" s="31"/>
      <c r="B61" s="32"/>
      <c r="C61" s="32"/>
      <c r="D61" s="32"/>
      <c r="E61" s="32"/>
      <c r="F61" s="32"/>
      <c r="G61" s="32"/>
      <c r="H61" s="33"/>
      <c r="I61" s="32"/>
      <c r="J61" s="34"/>
      <c r="K61" s="32"/>
      <c r="L61" s="32"/>
      <c r="M61" s="32"/>
      <c r="N61" s="32"/>
      <c r="O61" s="36"/>
      <c r="P61" s="32"/>
      <c r="Q61" s="35"/>
      <c r="R61" s="38"/>
      <c r="S61" s="32"/>
      <c r="T61" s="32"/>
      <c r="U61" s="32"/>
    </row>
    <row r="62" spans="1:21" ht="18.75">
      <c r="A62" s="31"/>
      <c r="B62" s="32"/>
      <c r="C62" s="32"/>
      <c r="D62" s="32"/>
      <c r="E62" s="32"/>
      <c r="F62" s="32"/>
      <c r="G62" s="32"/>
      <c r="H62" s="33"/>
      <c r="I62" s="32"/>
      <c r="J62" s="34"/>
      <c r="K62" s="32"/>
      <c r="L62" s="32"/>
      <c r="M62" s="32"/>
      <c r="N62" s="32"/>
      <c r="O62" s="36"/>
      <c r="P62" s="32"/>
      <c r="Q62" s="35"/>
      <c r="R62" s="38"/>
      <c r="S62" s="32"/>
      <c r="T62" s="32"/>
      <c r="U62" s="32"/>
    </row>
    <row r="63" spans="1:21" ht="18.75">
      <c r="A63" s="31"/>
      <c r="B63" s="32"/>
      <c r="C63" s="32"/>
      <c r="D63" s="32"/>
      <c r="E63" s="32"/>
      <c r="F63" s="32"/>
      <c r="G63" s="32"/>
      <c r="H63" s="33"/>
      <c r="I63" s="32"/>
      <c r="J63" s="34"/>
      <c r="K63" s="32"/>
      <c r="L63" s="32"/>
      <c r="M63" s="32"/>
      <c r="N63" s="32"/>
      <c r="O63" s="36"/>
      <c r="P63" s="32"/>
      <c r="Q63" s="35"/>
      <c r="R63" s="38"/>
      <c r="S63" s="32"/>
      <c r="T63" s="32"/>
      <c r="U63" s="32"/>
    </row>
    <row r="64" spans="1:21" ht="18.75">
      <c r="A64" s="31"/>
      <c r="B64" s="32"/>
      <c r="C64" s="32"/>
      <c r="D64" s="32"/>
      <c r="E64" s="32"/>
      <c r="F64" s="32"/>
      <c r="G64" s="32"/>
      <c r="H64" s="33"/>
      <c r="I64" s="32"/>
      <c r="J64" s="34"/>
      <c r="K64" s="32"/>
      <c r="L64" s="32"/>
      <c r="M64" s="32"/>
      <c r="N64" s="32"/>
      <c r="O64" s="36"/>
      <c r="P64" s="32"/>
      <c r="Q64" s="35"/>
      <c r="R64" s="38"/>
      <c r="S64" s="32"/>
      <c r="T64" s="32"/>
      <c r="U64" s="32"/>
    </row>
    <row r="65" spans="1:21" ht="18.75">
      <c r="A65" s="39"/>
      <c r="B65" s="32"/>
      <c r="C65" s="32"/>
      <c r="D65" s="32"/>
      <c r="E65" s="32"/>
      <c r="F65" s="32"/>
      <c r="G65" s="32"/>
      <c r="H65" s="33"/>
      <c r="I65" s="32"/>
      <c r="J65" s="34"/>
      <c r="K65" s="32"/>
      <c r="L65" s="35"/>
      <c r="M65" s="35"/>
      <c r="N65" s="32"/>
      <c r="O65" s="36"/>
      <c r="P65" s="32"/>
      <c r="Q65" s="37"/>
      <c r="R65" s="38"/>
      <c r="S65" s="32"/>
      <c r="T65" s="32"/>
      <c r="U65" s="32"/>
    </row>
    <row r="66" spans="1:21" ht="18.75">
      <c r="A66" s="31"/>
      <c r="B66" s="32"/>
      <c r="C66" s="32"/>
      <c r="D66" s="32"/>
      <c r="E66" s="32"/>
      <c r="F66" s="32"/>
      <c r="G66" s="32"/>
      <c r="H66" s="33"/>
      <c r="I66" s="32"/>
      <c r="J66" s="34"/>
      <c r="K66" s="32"/>
      <c r="L66" s="35"/>
      <c r="M66" s="35"/>
      <c r="N66" s="32"/>
      <c r="O66" s="36"/>
      <c r="P66" s="32"/>
      <c r="Q66" s="37"/>
      <c r="R66" s="38"/>
      <c r="S66" s="32"/>
      <c r="T66" s="32"/>
      <c r="U66" s="32"/>
    </row>
    <row r="67" spans="1:21" ht="18.75">
      <c r="A67" s="31"/>
      <c r="B67" s="32"/>
      <c r="C67" s="32"/>
      <c r="D67" s="32"/>
      <c r="E67" s="32"/>
      <c r="F67" s="32"/>
      <c r="G67" s="32"/>
      <c r="H67" s="33"/>
      <c r="I67" s="32"/>
      <c r="J67" s="34"/>
      <c r="K67" s="32"/>
      <c r="L67" s="35"/>
      <c r="M67" s="35"/>
      <c r="N67" s="32"/>
      <c r="O67" s="36"/>
      <c r="P67" s="32"/>
      <c r="Q67" s="37"/>
      <c r="R67" s="38"/>
      <c r="S67" s="32"/>
      <c r="T67" s="32"/>
      <c r="U67" s="32"/>
    </row>
    <row r="68" spans="1:21" ht="18.75">
      <c r="A68" s="31"/>
      <c r="B68" s="32"/>
      <c r="C68" s="32"/>
      <c r="D68" s="32"/>
      <c r="E68" s="32"/>
      <c r="F68" s="32"/>
      <c r="G68" s="32"/>
      <c r="H68" s="33"/>
      <c r="I68" s="32"/>
      <c r="J68" s="34"/>
      <c r="K68" s="32"/>
      <c r="L68" s="35"/>
      <c r="M68" s="35"/>
      <c r="N68" s="32"/>
      <c r="O68" s="36"/>
      <c r="P68" s="32"/>
      <c r="Q68" s="37"/>
      <c r="R68" s="38"/>
      <c r="S68" s="32"/>
      <c r="T68" s="32"/>
      <c r="U68" s="32"/>
    </row>
    <row r="69" spans="1:21" ht="18.75">
      <c r="A69" s="31"/>
      <c r="B69" s="32"/>
      <c r="C69" s="32"/>
      <c r="D69" s="32"/>
      <c r="E69" s="32"/>
      <c r="F69" s="32"/>
      <c r="G69" s="32"/>
      <c r="H69" s="33"/>
      <c r="I69" s="32"/>
      <c r="J69" s="34"/>
      <c r="K69" s="32"/>
      <c r="L69" s="35"/>
      <c r="M69" s="35"/>
      <c r="N69" s="32"/>
      <c r="O69" s="36"/>
      <c r="P69" s="32"/>
      <c r="Q69" s="37"/>
      <c r="R69" s="38"/>
      <c r="S69" s="32"/>
      <c r="T69" s="32"/>
      <c r="U69" s="32"/>
    </row>
    <row r="70" spans="1:21" ht="18.75">
      <c r="A70" s="31"/>
      <c r="B70" s="32"/>
      <c r="C70" s="32"/>
      <c r="D70" s="32"/>
      <c r="E70" s="32"/>
      <c r="F70" s="32"/>
      <c r="G70" s="32"/>
      <c r="H70" s="33"/>
      <c r="I70" s="32"/>
      <c r="J70" s="34"/>
      <c r="K70" s="32"/>
      <c r="L70" s="35"/>
      <c r="M70" s="35"/>
      <c r="N70" s="32"/>
      <c r="O70" s="36"/>
      <c r="P70" s="32"/>
      <c r="Q70" s="37"/>
      <c r="R70" s="38"/>
      <c r="S70" s="32"/>
      <c r="T70" s="32"/>
      <c r="U70" s="32"/>
    </row>
    <row r="71" spans="1:21" ht="18.75">
      <c r="A71" s="31"/>
      <c r="B71" s="32"/>
      <c r="C71" s="32"/>
      <c r="D71" s="32"/>
      <c r="E71" s="32"/>
      <c r="F71" s="32"/>
      <c r="G71" s="32"/>
      <c r="H71" s="33"/>
      <c r="I71" s="32"/>
      <c r="J71" s="34"/>
      <c r="K71" s="32"/>
      <c r="L71" s="35"/>
      <c r="M71" s="35"/>
      <c r="N71" s="32"/>
      <c r="O71" s="36"/>
      <c r="P71" s="32"/>
      <c r="Q71" s="37"/>
      <c r="R71" s="38"/>
      <c r="S71" s="32"/>
      <c r="T71" s="32"/>
      <c r="U71" s="32"/>
    </row>
    <row r="72" spans="1:21" ht="18.75">
      <c r="A72" s="31"/>
      <c r="B72" s="32"/>
      <c r="C72" s="32"/>
      <c r="D72" s="32"/>
      <c r="E72" s="32"/>
      <c r="F72" s="32"/>
      <c r="G72" s="32"/>
      <c r="H72" s="33"/>
      <c r="I72" s="32"/>
      <c r="J72" s="34"/>
      <c r="K72" s="32"/>
      <c r="L72" s="35"/>
      <c r="M72" s="35"/>
      <c r="N72" s="32"/>
      <c r="O72" s="36"/>
      <c r="P72" s="32"/>
      <c r="Q72" s="37"/>
      <c r="R72" s="38"/>
      <c r="S72" s="32"/>
      <c r="T72" s="32"/>
      <c r="U72" s="32"/>
    </row>
    <row r="73" spans="1:21" ht="18.75">
      <c r="A73" s="31"/>
      <c r="B73" s="32"/>
      <c r="C73" s="32"/>
      <c r="D73" s="32"/>
      <c r="E73" s="32"/>
      <c r="F73" s="32"/>
      <c r="G73" s="32"/>
      <c r="H73" s="33"/>
      <c r="I73" s="32"/>
      <c r="J73" s="34"/>
      <c r="K73" s="32"/>
      <c r="L73" s="35"/>
      <c r="M73" s="35"/>
      <c r="N73" s="32"/>
      <c r="O73" s="36"/>
      <c r="P73" s="32"/>
      <c r="Q73" s="37"/>
      <c r="R73" s="38"/>
      <c r="S73" s="32"/>
      <c r="T73" s="32"/>
      <c r="U73" s="32"/>
    </row>
    <row r="74" spans="1:21" ht="18.75">
      <c r="A74" s="31"/>
      <c r="B74" s="32"/>
      <c r="C74" s="32"/>
      <c r="D74" s="32"/>
      <c r="E74" s="32"/>
      <c r="F74" s="32"/>
      <c r="G74" s="32"/>
      <c r="H74" s="33"/>
      <c r="I74" s="32"/>
      <c r="J74" s="34"/>
      <c r="K74" s="32"/>
      <c r="L74" s="35"/>
      <c r="M74" s="35"/>
      <c r="N74" s="32"/>
      <c r="O74" s="36"/>
      <c r="P74" s="32"/>
      <c r="Q74" s="37"/>
      <c r="R74" s="38"/>
      <c r="S74" s="32"/>
      <c r="T74" s="32"/>
      <c r="U74" s="32"/>
    </row>
    <row r="75" spans="1:21" ht="18.75">
      <c r="A75" s="31"/>
      <c r="B75" s="32"/>
      <c r="C75" s="32"/>
      <c r="D75" s="32"/>
      <c r="E75" s="32"/>
      <c r="F75" s="32"/>
      <c r="G75" s="32"/>
      <c r="H75" s="33"/>
      <c r="I75" s="32"/>
      <c r="J75" s="34"/>
      <c r="K75" s="32"/>
      <c r="L75" s="35"/>
      <c r="M75" s="35"/>
      <c r="N75" s="32"/>
      <c r="O75" s="36"/>
      <c r="P75" s="32"/>
      <c r="Q75" s="37"/>
      <c r="R75" s="38"/>
      <c r="S75" s="32"/>
      <c r="T75" s="32"/>
      <c r="U75" s="32"/>
    </row>
    <row r="76" spans="1:21" ht="18.75">
      <c r="A76" s="31"/>
      <c r="B76" s="32"/>
      <c r="C76" s="32"/>
      <c r="D76" s="32"/>
      <c r="E76" s="32"/>
      <c r="F76" s="32"/>
      <c r="G76" s="32"/>
      <c r="H76" s="33"/>
      <c r="I76" s="32"/>
      <c r="J76" s="34"/>
      <c r="K76" s="32"/>
      <c r="L76" s="35"/>
      <c r="M76" s="35"/>
      <c r="N76" s="32"/>
      <c r="O76" s="36"/>
      <c r="P76" s="32"/>
      <c r="Q76" s="37"/>
      <c r="R76" s="38"/>
      <c r="S76" s="32"/>
      <c r="T76" s="32"/>
      <c r="U76" s="32"/>
    </row>
    <row r="77" spans="1:21" ht="18.75">
      <c r="A77" s="31"/>
      <c r="B77" s="32"/>
      <c r="C77" s="32"/>
      <c r="D77" s="32"/>
      <c r="E77" s="32"/>
      <c r="F77" s="32"/>
      <c r="G77" s="32"/>
      <c r="H77" s="33"/>
      <c r="I77" s="32"/>
      <c r="J77" s="34"/>
      <c r="K77" s="32"/>
      <c r="L77" s="35"/>
      <c r="M77" s="35"/>
      <c r="N77" s="32"/>
      <c r="O77" s="36"/>
      <c r="P77" s="32"/>
      <c r="Q77" s="37"/>
      <c r="R77" s="38"/>
      <c r="S77" s="32"/>
      <c r="T77" s="32"/>
      <c r="U77" s="32"/>
    </row>
    <row r="78" spans="1:21" ht="18.75">
      <c r="A78" s="39"/>
      <c r="B78" s="32"/>
      <c r="C78" s="32"/>
      <c r="D78" s="32"/>
      <c r="E78" s="32"/>
      <c r="F78" s="32"/>
      <c r="G78" s="32"/>
      <c r="H78" s="33"/>
      <c r="I78" s="32"/>
      <c r="J78" s="34"/>
      <c r="K78" s="32"/>
      <c r="L78" s="35"/>
      <c r="M78" s="35"/>
      <c r="N78" s="32"/>
      <c r="O78" s="36"/>
      <c r="P78" s="32"/>
      <c r="Q78" s="35"/>
      <c r="R78" s="38"/>
      <c r="S78" s="32"/>
      <c r="T78" s="32"/>
      <c r="U78" s="32"/>
    </row>
    <row r="79" spans="1:21" ht="18.75">
      <c r="A79" s="31"/>
      <c r="B79" s="32"/>
      <c r="C79" s="32"/>
      <c r="D79" s="32"/>
      <c r="E79" s="32"/>
      <c r="F79" s="32"/>
      <c r="G79" s="32"/>
      <c r="H79" s="33"/>
      <c r="I79" s="32"/>
      <c r="J79" s="34"/>
      <c r="K79" s="32"/>
      <c r="L79" s="35"/>
      <c r="M79" s="35"/>
      <c r="N79" s="32"/>
      <c r="O79" s="36"/>
      <c r="P79" s="32"/>
      <c r="Q79" s="35"/>
      <c r="R79" s="38"/>
      <c r="S79" s="32"/>
      <c r="T79" s="32"/>
      <c r="U79" s="32"/>
    </row>
    <row r="80" spans="1:21" ht="18.75">
      <c r="A80" s="31"/>
      <c r="B80" s="32"/>
      <c r="C80" s="32"/>
      <c r="D80" s="32"/>
      <c r="E80" s="32"/>
      <c r="F80" s="32"/>
      <c r="G80" s="32"/>
      <c r="H80" s="33"/>
      <c r="I80" s="32"/>
      <c r="J80" s="34"/>
      <c r="K80" s="32"/>
      <c r="L80" s="35"/>
      <c r="M80" s="35"/>
      <c r="N80" s="32"/>
      <c r="O80" s="36"/>
      <c r="P80" s="32"/>
      <c r="Q80" s="35"/>
      <c r="R80" s="38"/>
      <c r="S80" s="32"/>
      <c r="T80" s="32"/>
      <c r="U80" s="32"/>
    </row>
    <row r="81" spans="1:21" ht="18.75">
      <c r="A81" s="31"/>
      <c r="B81" s="32"/>
      <c r="C81" s="32"/>
      <c r="D81" s="32"/>
      <c r="E81" s="32"/>
      <c r="F81" s="32"/>
      <c r="G81" s="32"/>
      <c r="H81" s="33"/>
      <c r="I81" s="32"/>
      <c r="J81" s="34"/>
      <c r="K81" s="32"/>
      <c r="L81" s="35"/>
      <c r="M81" s="35"/>
      <c r="N81" s="32"/>
      <c r="O81" s="36"/>
      <c r="P81" s="32"/>
      <c r="Q81" s="35"/>
      <c r="R81" s="38"/>
      <c r="S81" s="32"/>
      <c r="T81" s="32"/>
      <c r="U81" s="32"/>
    </row>
    <row r="82" spans="1:21" ht="18.75">
      <c r="A82" s="31"/>
      <c r="B82" s="32"/>
      <c r="C82" s="32"/>
      <c r="D82" s="32"/>
      <c r="E82" s="32"/>
      <c r="F82" s="32"/>
      <c r="G82" s="32"/>
      <c r="H82" s="33"/>
      <c r="I82" s="32"/>
      <c r="J82" s="34"/>
      <c r="K82" s="32"/>
      <c r="L82" s="35"/>
      <c r="M82" s="35"/>
      <c r="N82" s="32"/>
      <c r="O82" s="36"/>
      <c r="P82" s="32"/>
      <c r="Q82" s="35"/>
      <c r="R82" s="38"/>
      <c r="S82" s="32"/>
      <c r="T82" s="32"/>
      <c r="U82" s="32"/>
    </row>
    <row r="83" spans="1:21" ht="18.75">
      <c r="A83" s="31"/>
      <c r="B83" s="32"/>
      <c r="C83" s="32"/>
      <c r="D83" s="32"/>
      <c r="E83" s="32"/>
      <c r="F83" s="32"/>
      <c r="G83" s="32"/>
      <c r="H83" s="33"/>
      <c r="I83" s="32"/>
      <c r="J83" s="34"/>
      <c r="K83" s="32"/>
      <c r="L83" s="35"/>
      <c r="M83" s="35"/>
      <c r="N83" s="32"/>
      <c r="O83" s="36"/>
      <c r="P83" s="32"/>
      <c r="Q83" s="35"/>
      <c r="R83" s="38"/>
      <c r="S83" s="32"/>
      <c r="T83" s="32"/>
      <c r="U83" s="32"/>
    </row>
    <row r="84" spans="1:21" ht="18.75">
      <c r="A84" s="31"/>
      <c r="B84" s="32"/>
      <c r="C84" s="32"/>
      <c r="D84" s="32"/>
      <c r="E84" s="32"/>
      <c r="F84" s="32"/>
      <c r="G84" s="32"/>
      <c r="H84" s="33"/>
      <c r="I84" s="32"/>
      <c r="J84" s="34"/>
      <c r="K84" s="32"/>
      <c r="L84" s="35"/>
      <c r="M84" s="35"/>
      <c r="N84" s="32"/>
      <c r="O84" s="36"/>
      <c r="P84" s="32"/>
      <c r="Q84" s="35"/>
      <c r="R84" s="38"/>
      <c r="S84" s="32"/>
      <c r="T84" s="32"/>
      <c r="U84" s="32"/>
    </row>
    <row r="85" spans="1:21" ht="18.75">
      <c r="A85" s="31"/>
      <c r="B85" s="32"/>
      <c r="C85" s="32"/>
      <c r="D85" s="32"/>
      <c r="E85" s="32"/>
      <c r="F85" s="32"/>
      <c r="G85" s="32"/>
      <c r="H85" s="33"/>
      <c r="I85" s="32"/>
      <c r="J85" s="34"/>
      <c r="K85" s="32"/>
      <c r="L85" s="35"/>
      <c r="M85" s="35"/>
      <c r="N85" s="32"/>
      <c r="O85" s="36"/>
      <c r="P85" s="32"/>
      <c r="Q85" s="35"/>
      <c r="R85" s="38"/>
      <c r="S85" s="32"/>
      <c r="T85" s="32"/>
      <c r="U85" s="32"/>
    </row>
    <row r="86" spans="1:21" ht="18.75">
      <c r="A86" s="31"/>
      <c r="B86" s="32"/>
      <c r="C86" s="32"/>
      <c r="D86" s="32"/>
      <c r="E86" s="32"/>
      <c r="F86" s="32"/>
      <c r="G86" s="32"/>
      <c r="H86" s="33"/>
      <c r="I86" s="32"/>
      <c r="J86" s="34"/>
      <c r="K86" s="32"/>
      <c r="L86" s="35"/>
      <c r="M86" s="35"/>
      <c r="N86" s="32"/>
      <c r="O86" s="36"/>
      <c r="P86" s="32"/>
      <c r="Q86" s="35"/>
      <c r="R86" s="38"/>
      <c r="S86" s="32"/>
      <c r="T86" s="32"/>
      <c r="U86" s="32"/>
    </row>
    <row r="87" spans="1:21" ht="18.75">
      <c r="A87" s="31"/>
      <c r="B87" s="32"/>
      <c r="C87" s="32"/>
      <c r="D87" s="32"/>
      <c r="E87" s="32"/>
      <c r="F87" s="32"/>
      <c r="G87" s="32"/>
      <c r="H87" s="33"/>
      <c r="I87" s="32"/>
      <c r="J87" s="34"/>
      <c r="K87" s="32"/>
      <c r="L87" s="35"/>
      <c r="M87" s="35"/>
      <c r="N87" s="32"/>
      <c r="O87" s="36"/>
      <c r="P87" s="32"/>
      <c r="Q87" s="35"/>
      <c r="R87" s="38"/>
      <c r="S87" s="32"/>
      <c r="T87" s="32"/>
      <c r="U87" s="32"/>
    </row>
    <row r="88" spans="1:21" ht="18.75">
      <c r="A88" s="31"/>
      <c r="B88" s="32"/>
      <c r="C88" s="32"/>
      <c r="D88" s="32"/>
      <c r="E88" s="32"/>
      <c r="F88" s="32"/>
      <c r="G88" s="32"/>
      <c r="H88" s="33"/>
      <c r="I88" s="32"/>
      <c r="J88" s="34"/>
      <c r="K88" s="32"/>
      <c r="L88" s="35"/>
      <c r="M88" s="35"/>
      <c r="N88" s="32"/>
      <c r="O88" s="36"/>
      <c r="P88" s="32"/>
      <c r="Q88" s="35"/>
      <c r="R88" s="38"/>
      <c r="S88" s="32"/>
      <c r="T88" s="32"/>
      <c r="U88" s="32"/>
    </row>
    <row r="89" spans="1:21" ht="18.75">
      <c r="A89" s="31"/>
      <c r="B89" s="32"/>
      <c r="C89" s="32"/>
      <c r="D89" s="32"/>
      <c r="E89" s="32"/>
      <c r="F89" s="32"/>
      <c r="G89" s="32"/>
      <c r="H89" s="33"/>
      <c r="I89" s="32"/>
      <c r="J89" s="34"/>
      <c r="K89" s="32"/>
      <c r="L89" s="35"/>
      <c r="M89" s="35"/>
      <c r="N89" s="32"/>
      <c r="O89" s="36"/>
      <c r="P89" s="32"/>
      <c r="Q89" s="35"/>
      <c r="R89" s="38"/>
      <c r="S89" s="32"/>
      <c r="T89" s="32"/>
      <c r="U89" s="32"/>
    </row>
    <row r="90" spans="1:21" ht="18.75">
      <c r="A90" s="31"/>
      <c r="B90" s="32"/>
      <c r="C90" s="32"/>
      <c r="D90" s="32"/>
      <c r="E90" s="32"/>
      <c r="F90" s="32"/>
      <c r="G90" s="32"/>
      <c r="H90" s="33"/>
      <c r="I90" s="32"/>
      <c r="J90" s="34"/>
      <c r="K90" s="32"/>
      <c r="L90" s="35"/>
      <c r="M90" s="35"/>
      <c r="N90" s="32"/>
      <c r="O90" s="36"/>
      <c r="P90" s="32"/>
      <c r="Q90" s="35"/>
      <c r="R90" s="38"/>
      <c r="S90" s="32"/>
      <c r="T90" s="32"/>
      <c r="U90" s="32"/>
    </row>
    <row r="91" spans="1:21" ht="18.75">
      <c r="A91" s="39"/>
      <c r="B91" s="32"/>
      <c r="C91" s="32"/>
      <c r="D91" s="32"/>
      <c r="E91" s="32"/>
      <c r="F91" s="32"/>
      <c r="G91" s="32"/>
      <c r="H91" s="33"/>
      <c r="I91" s="32"/>
      <c r="J91" s="34"/>
      <c r="K91" s="32"/>
      <c r="L91" s="35"/>
      <c r="M91" s="35"/>
      <c r="N91" s="32"/>
      <c r="O91" s="36"/>
      <c r="P91" s="32"/>
      <c r="Q91" s="35"/>
      <c r="R91" s="38"/>
      <c r="S91" s="32"/>
      <c r="T91" s="32"/>
      <c r="U91" s="32"/>
    </row>
    <row r="92" spans="1:21" ht="18.75">
      <c r="A92" s="31"/>
      <c r="B92" s="32"/>
      <c r="C92" s="32"/>
      <c r="D92" s="32"/>
      <c r="E92" s="32"/>
      <c r="F92" s="32"/>
      <c r="G92" s="32"/>
      <c r="H92" s="33"/>
      <c r="I92" s="32"/>
      <c r="J92" s="34"/>
      <c r="K92" s="32"/>
      <c r="L92" s="35"/>
      <c r="M92" s="35"/>
      <c r="N92" s="32"/>
      <c r="O92" s="36"/>
      <c r="P92" s="32"/>
      <c r="Q92" s="35"/>
      <c r="R92" s="38"/>
      <c r="S92" s="32"/>
      <c r="T92" s="32"/>
      <c r="U92" s="32"/>
    </row>
    <row r="93" spans="1:21" ht="18.75">
      <c r="A93" s="31"/>
      <c r="B93" s="32"/>
      <c r="C93" s="32"/>
      <c r="D93" s="32"/>
      <c r="E93" s="32"/>
      <c r="F93" s="32"/>
      <c r="G93" s="32"/>
      <c r="H93" s="33"/>
      <c r="I93" s="32"/>
      <c r="J93" s="34"/>
      <c r="K93" s="32"/>
      <c r="L93" s="35"/>
      <c r="M93" s="35"/>
      <c r="N93" s="32"/>
      <c r="O93" s="36"/>
      <c r="P93" s="32"/>
      <c r="Q93" s="35"/>
      <c r="R93" s="38"/>
      <c r="S93" s="32"/>
      <c r="T93" s="32"/>
      <c r="U93" s="32"/>
    </row>
    <row r="94" spans="1:21" ht="15.75">
      <c r="A94" s="17"/>
      <c r="B94" s="12"/>
      <c r="C94" s="12"/>
      <c r="D94" s="12"/>
      <c r="E94" s="12"/>
      <c r="F94" s="12"/>
      <c r="G94" s="12"/>
      <c r="H94" s="13"/>
      <c r="I94" s="12"/>
      <c r="J94" s="18"/>
      <c r="K94" s="12"/>
      <c r="L94" s="14"/>
      <c r="M94" s="14"/>
      <c r="N94" s="12"/>
      <c r="O94" s="15"/>
      <c r="P94" s="12"/>
      <c r="Q94" s="14"/>
      <c r="R94" s="16"/>
      <c r="S94" s="12"/>
      <c r="T94" s="12"/>
      <c r="U94" s="12"/>
    </row>
    <row r="95" spans="1:21" ht="15.75">
      <c r="A95" s="17"/>
      <c r="B95" s="12"/>
      <c r="C95" s="12"/>
      <c r="D95" s="12"/>
      <c r="E95" s="12"/>
      <c r="F95" s="12"/>
      <c r="G95" s="12"/>
      <c r="H95" s="13"/>
      <c r="I95" s="12"/>
      <c r="J95" s="18"/>
      <c r="K95" s="12"/>
      <c r="L95" s="14"/>
      <c r="M95" s="14"/>
      <c r="N95" s="12"/>
      <c r="O95" s="15"/>
      <c r="P95" s="12"/>
      <c r="Q95" s="14"/>
      <c r="R95" s="16"/>
      <c r="S95" s="12"/>
      <c r="T95" s="12"/>
      <c r="U95" s="12"/>
    </row>
    <row r="96" spans="1:21" ht="15.75">
      <c r="A96" s="17"/>
      <c r="B96" s="12"/>
      <c r="C96" s="12"/>
      <c r="D96" s="12"/>
      <c r="E96" s="12"/>
      <c r="F96" s="12"/>
      <c r="G96" s="12"/>
      <c r="H96" s="13"/>
      <c r="I96" s="12"/>
      <c r="J96" s="18"/>
      <c r="K96" s="12"/>
      <c r="L96" s="14"/>
      <c r="M96" s="14"/>
      <c r="N96" s="12"/>
      <c r="O96" s="15"/>
      <c r="P96" s="12"/>
      <c r="Q96" s="14"/>
      <c r="R96" s="16"/>
      <c r="S96" s="12"/>
      <c r="T96" s="12"/>
      <c r="U96" s="12"/>
    </row>
    <row r="97" spans="1:21" ht="15.75">
      <c r="A97" s="17"/>
      <c r="B97" s="12"/>
      <c r="C97" s="12"/>
      <c r="D97" s="12"/>
      <c r="E97" s="12"/>
      <c r="F97" s="12"/>
      <c r="G97" s="12"/>
      <c r="H97" s="13"/>
      <c r="I97" s="12"/>
      <c r="J97" s="18"/>
      <c r="K97" s="12"/>
      <c r="L97" s="14"/>
      <c r="M97" s="14"/>
      <c r="N97" s="12"/>
      <c r="O97" s="15"/>
      <c r="P97" s="12"/>
      <c r="Q97" s="14"/>
      <c r="R97" s="16"/>
      <c r="S97" s="12"/>
      <c r="T97" s="12"/>
      <c r="U97" s="12"/>
    </row>
    <row r="98" spans="1:21" ht="15.75">
      <c r="A98" s="17"/>
      <c r="B98" s="12"/>
      <c r="C98" s="12"/>
      <c r="D98" s="12"/>
      <c r="E98" s="12"/>
      <c r="F98" s="12"/>
      <c r="G98" s="12"/>
      <c r="H98" s="13"/>
      <c r="I98" s="12"/>
      <c r="J98" s="18"/>
      <c r="K98" s="12"/>
      <c r="L98" s="14"/>
      <c r="M98" s="14"/>
      <c r="N98" s="12"/>
      <c r="O98" s="15"/>
      <c r="P98" s="12"/>
      <c r="Q98" s="14"/>
      <c r="R98" s="16"/>
      <c r="S98" s="12"/>
      <c r="T98" s="12"/>
      <c r="U98" s="12"/>
    </row>
    <row r="99" spans="1:21" ht="15.75">
      <c r="A99" s="17"/>
      <c r="B99" s="12"/>
      <c r="C99" s="12"/>
      <c r="D99" s="12"/>
      <c r="E99" s="12"/>
      <c r="F99" s="12"/>
      <c r="G99" s="12"/>
      <c r="H99" s="13"/>
      <c r="I99" s="12"/>
      <c r="J99" s="18"/>
      <c r="K99" s="12"/>
      <c r="L99" s="14"/>
      <c r="M99" s="14"/>
      <c r="N99" s="12"/>
      <c r="O99" s="15"/>
      <c r="P99" s="12"/>
      <c r="Q99" s="14"/>
      <c r="R99" s="16"/>
      <c r="S99" s="12"/>
      <c r="T99" s="12"/>
      <c r="U99" s="12"/>
    </row>
    <row r="100" spans="1:21" ht="15.75">
      <c r="A100" s="17"/>
      <c r="B100" s="12"/>
      <c r="C100" s="12"/>
      <c r="D100" s="12"/>
      <c r="E100" s="12"/>
      <c r="F100" s="12"/>
      <c r="G100" s="12"/>
      <c r="H100" s="13"/>
      <c r="I100" s="12"/>
      <c r="J100" s="18"/>
      <c r="K100" s="12"/>
      <c r="L100" s="14"/>
      <c r="M100" s="14"/>
      <c r="N100" s="12"/>
      <c r="O100" s="15"/>
      <c r="P100" s="12"/>
      <c r="Q100" s="14"/>
      <c r="R100" s="16"/>
      <c r="S100" s="12"/>
      <c r="T100" s="12"/>
      <c r="U100" s="12"/>
    </row>
    <row r="101" spans="1:21" ht="15.75">
      <c r="A101" s="17"/>
      <c r="B101" s="12"/>
      <c r="C101" s="12"/>
      <c r="D101" s="12"/>
      <c r="E101" s="12"/>
      <c r="F101" s="12"/>
      <c r="G101" s="12"/>
      <c r="H101" s="13"/>
      <c r="I101" s="12"/>
      <c r="J101" s="18"/>
      <c r="K101" s="12"/>
      <c r="L101" s="14"/>
      <c r="M101" s="14"/>
      <c r="N101" s="12"/>
      <c r="O101" s="15"/>
      <c r="P101" s="12"/>
      <c r="Q101" s="14"/>
      <c r="R101" s="16"/>
      <c r="S101" s="12"/>
      <c r="T101" s="12"/>
      <c r="U101" s="12"/>
    </row>
    <row r="102" spans="1:21" ht="15.75">
      <c r="A102" s="17"/>
      <c r="B102" s="12"/>
      <c r="C102" s="12"/>
      <c r="D102" s="12"/>
      <c r="E102" s="12"/>
      <c r="F102" s="12"/>
      <c r="G102" s="12"/>
      <c r="H102" s="13"/>
      <c r="I102" s="12"/>
      <c r="J102" s="18"/>
      <c r="K102" s="12"/>
      <c r="L102" s="14"/>
      <c r="M102" s="14"/>
      <c r="N102" s="12"/>
      <c r="O102" s="15"/>
      <c r="P102" s="12"/>
      <c r="Q102" s="14"/>
      <c r="R102" s="16"/>
      <c r="S102" s="12"/>
      <c r="T102" s="12"/>
      <c r="U102" s="12"/>
    </row>
    <row r="103" spans="1:21" ht="15.75">
      <c r="A103" s="17"/>
      <c r="B103" s="12"/>
      <c r="C103" s="12"/>
      <c r="D103" s="12"/>
      <c r="E103" s="12"/>
      <c r="F103" s="12"/>
      <c r="G103" s="12"/>
      <c r="H103" s="13"/>
      <c r="I103" s="12"/>
      <c r="J103" s="18"/>
      <c r="K103" s="12"/>
      <c r="L103" s="14"/>
      <c r="M103" s="14"/>
      <c r="N103" s="12"/>
      <c r="O103" s="15"/>
      <c r="P103" s="12"/>
      <c r="Q103" s="14"/>
      <c r="R103" s="16"/>
      <c r="S103" s="12"/>
      <c r="T103" s="12"/>
      <c r="U103" s="12"/>
    </row>
    <row r="104" spans="1:21" ht="15.75">
      <c r="A104" s="19"/>
      <c r="B104" s="12"/>
      <c r="C104" s="12"/>
      <c r="D104" s="12"/>
      <c r="E104" s="12"/>
      <c r="F104" s="12"/>
      <c r="G104" s="12"/>
      <c r="H104" s="13"/>
      <c r="I104" s="12"/>
      <c r="J104" s="18"/>
      <c r="K104" s="12"/>
      <c r="L104" s="14"/>
      <c r="M104" s="14"/>
      <c r="N104" s="12"/>
      <c r="O104" s="15"/>
      <c r="P104" s="12"/>
      <c r="Q104" s="14"/>
      <c r="R104" s="16"/>
      <c r="S104" s="12"/>
      <c r="T104" s="12"/>
      <c r="U104" s="12"/>
    </row>
    <row r="105" spans="1:21" ht="15.75">
      <c r="A105" s="17"/>
      <c r="B105" s="12"/>
      <c r="C105" s="12"/>
      <c r="D105" s="12"/>
      <c r="E105" s="12"/>
      <c r="F105" s="12"/>
      <c r="G105" s="12"/>
      <c r="H105" s="13"/>
      <c r="I105" s="12"/>
      <c r="J105" s="18"/>
      <c r="K105" s="12"/>
      <c r="L105" s="14"/>
      <c r="M105" s="14"/>
      <c r="N105" s="12"/>
      <c r="O105" s="15"/>
      <c r="P105" s="12"/>
      <c r="Q105" s="14"/>
      <c r="R105" s="16"/>
      <c r="S105" s="12"/>
      <c r="T105" s="12"/>
      <c r="U105" s="12"/>
    </row>
    <row r="106" spans="1:21" ht="15.75">
      <c r="A106" s="17"/>
      <c r="B106" s="12"/>
      <c r="C106" s="12"/>
      <c r="D106" s="12"/>
      <c r="E106" s="12"/>
      <c r="F106" s="12"/>
      <c r="G106" s="12"/>
      <c r="H106" s="13"/>
      <c r="I106" s="12"/>
      <c r="J106" s="18"/>
      <c r="K106" s="12"/>
      <c r="L106" s="14"/>
      <c r="M106" s="14"/>
      <c r="N106" s="12"/>
      <c r="O106" s="15"/>
      <c r="P106" s="12"/>
      <c r="Q106" s="14"/>
      <c r="R106" s="16"/>
      <c r="S106" s="12"/>
      <c r="T106" s="12"/>
      <c r="U106" s="12"/>
    </row>
    <row r="107" spans="1:21" ht="15.75">
      <c r="A107" s="17"/>
      <c r="B107" s="12"/>
      <c r="C107" s="12"/>
      <c r="D107" s="12"/>
      <c r="E107" s="12"/>
      <c r="F107" s="12"/>
      <c r="G107" s="12"/>
      <c r="H107" s="13"/>
      <c r="I107" s="12"/>
      <c r="J107" s="18"/>
      <c r="K107" s="12"/>
      <c r="L107" s="14"/>
      <c r="M107" s="14"/>
      <c r="N107" s="12"/>
      <c r="O107" s="15"/>
      <c r="P107" s="12"/>
      <c r="Q107" s="14"/>
      <c r="R107" s="16"/>
      <c r="S107" s="12"/>
      <c r="T107" s="12"/>
      <c r="U107" s="12"/>
    </row>
    <row r="108" spans="1:21" ht="15.75">
      <c r="A108" s="17"/>
      <c r="B108" s="12"/>
      <c r="C108" s="12"/>
      <c r="D108" s="12"/>
      <c r="E108" s="12"/>
      <c r="F108" s="12"/>
      <c r="G108" s="12"/>
      <c r="H108" s="13"/>
      <c r="I108" s="12"/>
      <c r="J108" s="18"/>
      <c r="K108" s="12"/>
      <c r="L108" s="14"/>
      <c r="M108" s="14"/>
      <c r="N108" s="12"/>
      <c r="O108" s="15"/>
      <c r="P108" s="12"/>
      <c r="Q108" s="14"/>
      <c r="R108" s="16"/>
      <c r="S108" s="12"/>
      <c r="T108" s="12"/>
      <c r="U108" s="12"/>
    </row>
    <row r="109" spans="1:21" ht="15.75">
      <c r="A109" s="17"/>
      <c r="B109" s="12"/>
      <c r="C109" s="12"/>
      <c r="D109" s="12"/>
      <c r="E109" s="12"/>
      <c r="F109" s="12"/>
      <c r="G109" s="12"/>
      <c r="H109" s="13"/>
      <c r="I109" s="12"/>
      <c r="J109" s="18"/>
      <c r="K109" s="12"/>
      <c r="L109" s="14"/>
      <c r="M109" s="14"/>
      <c r="N109" s="12"/>
      <c r="O109" s="15"/>
      <c r="P109" s="12"/>
      <c r="Q109" s="14"/>
      <c r="R109" s="16"/>
      <c r="S109" s="12"/>
      <c r="T109" s="12"/>
      <c r="U109" s="12"/>
    </row>
    <row r="110" spans="1:21" ht="15.75">
      <c r="A110" s="17"/>
      <c r="B110" s="12"/>
      <c r="C110" s="12"/>
      <c r="D110" s="12"/>
      <c r="E110" s="12"/>
      <c r="F110" s="12"/>
      <c r="G110" s="12"/>
      <c r="H110" s="13"/>
      <c r="I110" s="12"/>
      <c r="J110" s="18"/>
      <c r="K110" s="12"/>
      <c r="L110" s="14"/>
      <c r="M110" s="14"/>
      <c r="N110" s="12"/>
      <c r="O110" s="15"/>
      <c r="P110" s="12"/>
      <c r="Q110" s="14"/>
      <c r="R110" s="16"/>
      <c r="S110" s="12"/>
      <c r="T110" s="12"/>
      <c r="U110" s="12"/>
    </row>
    <row r="111" spans="1:21" ht="15.75">
      <c r="A111" s="17"/>
      <c r="B111" s="12"/>
      <c r="C111" s="12"/>
      <c r="D111" s="12"/>
      <c r="E111" s="12"/>
      <c r="F111" s="12"/>
      <c r="G111" s="12"/>
      <c r="H111" s="13"/>
      <c r="I111" s="12"/>
      <c r="J111" s="18"/>
      <c r="K111" s="12"/>
      <c r="L111" s="14"/>
      <c r="M111" s="14"/>
      <c r="N111" s="12"/>
      <c r="O111" s="15"/>
      <c r="P111" s="12"/>
      <c r="Q111" s="14"/>
      <c r="R111" s="16"/>
      <c r="S111" s="12"/>
      <c r="T111" s="12"/>
      <c r="U111" s="12"/>
    </row>
    <row r="112" spans="1:21" ht="15.75">
      <c r="A112" s="17"/>
      <c r="B112" s="12"/>
      <c r="C112" s="12"/>
      <c r="D112" s="12"/>
      <c r="E112" s="12"/>
      <c r="F112" s="12"/>
      <c r="G112" s="12"/>
      <c r="H112" s="13"/>
      <c r="I112" s="12"/>
      <c r="J112" s="18"/>
      <c r="K112" s="12"/>
      <c r="L112" s="14"/>
      <c r="M112" s="14"/>
      <c r="N112" s="12"/>
      <c r="O112" s="15"/>
      <c r="P112" s="12"/>
      <c r="Q112" s="14"/>
      <c r="R112" s="16"/>
      <c r="S112" s="12"/>
      <c r="T112" s="12"/>
      <c r="U112" s="12"/>
    </row>
    <row r="113" spans="1:21" ht="15.75">
      <c r="A113" s="17"/>
      <c r="B113" s="12"/>
      <c r="C113" s="12"/>
      <c r="D113" s="12"/>
      <c r="E113" s="12"/>
      <c r="F113" s="12"/>
      <c r="G113" s="12"/>
      <c r="H113" s="13"/>
      <c r="I113" s="12"/>
      <c r="J113" s="18"/>
      <c r="K113" s="12"/>
      <c r="L113" s="14"/>
      <c r="M113" s="14"/>
      <c r="N113" s="12"/>
      <c r="O113" s="15"/>
      <c r="P113" s="12"/>
      <c r="Q113" s="14"/>
      <c r="R113" s="16"/>
      <c r="S113" s="12"/>
      <c r="T113" s="12"/>
      <c r="U113" s="12"/>
    </row>
    <row r="114" spans="1:21" ht="15.75">
      <c r="A114" s="17"/>
      <c r="B114" s="12"/>
      <c r="C114" s="12"/>
      <c r="D114" s="12"/>
      <c r="E114" s="12"/>
      <c r="F114" s="12"/>
      <c r="G114" s="12"/>
      <c r="H114" s="13"/>
      <c r="I114" s="12"/>
      <c r="J114" s="18"/>
      <c r="K114" s="12"/>
      <c r="L114" s="14"/>
      <c r="M114" s="14"/>
      <c r="N114" s="12"/>
      <c r="O114" s="15"/>
      <c r="P114" s="12"/>
      <c r="Q114" s="14"/>
      <c r="R114" s="16"/>
      <c r="S114" s="12"/>
      <c r="T114" s="12"/>
      <c r="U114" s="12"/>
    </row>
    <row r="115" spans="1:21" ht="15.75">
      <c r="A115" s="17"/>
      <c r="B115" s="12"/>
      <c r="C115" s="12"/>
      <c r="D115" s="12"/>
      <c r="E115" s="12"/>
      <c r="F115" s="12"/>
      <c r="G115" s="12"/>
      <c r="H115" s="13"/>
      <c r="I115" s="12"/>
      <c r="J115" s="18"/>
      <c r="K115" s="12"/>
      <c r="L115" s="14"/>
      <c r="M115" s="14"/>
      <c r="N115" s="12"/>
      <c r="O115" s="15"/>
      <c r="P115" s="12"/>
      <c r="Q115" s="14"/>
      <c r="R115" s="16"/>
      <c r="S115" s="12"/>
      <c r="T115" s="12"/>
      <c r="U115" s="12"/>
    </row>
    <row r="116" spans="1:21" ht="15.75">
      <c r="A116" s="17"/>
      <c r="B116" s="12"/>
      <c r="C116" s="12"/>
      <c r="D116" s="12"/>
      <c r="E116" s="12"/>
      <c r="F116" s="12"/>
      <c r="G116" s="12"/>
      <c r="H116" s="13"/>
      <c r="I116" s="12"/>
      <c r="J116" s="18"/>
      <c r="K116" s="12"/>
      <c r="L116" s="14"/>
      <c r="M116" s="14"/>
      <c r="N116" s="12"/>
      <c r="O116" s="15"/>
      <c r="P116" s="12"/>
      <c r="Q116" s="14"/>
      <c r="R116" s="16"/>
      <c r="S116" s="12"/>
      <c r="T116" s="12"/>
      <c r="U116" s="12"/>
    </row>
    <row r="117" spans="1:21" ht="15.75">
      <c r="A117" s="19"/>
      <c r="B117" s="12"/>
      <c r="C117" s="12"/>
      <c r="D117" s="12"/>
      <c r="E117" s="12"/>
      <c r="F117" s="12"/>
      <c r="G117" s="12"/>
      <c r="H117" s="13"/>
      <c r="I117" s="12"/>
      <c r="J117" s="18"/>
      <c r="K117" s="12"/>
      <c r="L117" s="14"/>
      <c r="M117" s="14"/>
      <c r="N117" s="12"/>
      <c r="O117" s="15"/>
      <c r="P117" s="12"/>
      <c r="Q117" s="14"/>
      <c r="R117" s="16"/>
      <c r="S117" s="12"/>
      <c r="T117" s="12"/>
      <c r="U117" s="12"/>
    </row>
    <row r="118" spans="1:21" ht="15.75">
      <c r="A118" s="17"/>
      <c r="B118" s="12"/>
      <c r="C118" s="12"/>
      <c r="D118" s="12"/>
      <c r="E118" s="12"/>
      <c r="F118" s="12"/>
      <c r="G118" s="12"/>
      <c r="H118" s="13"/>
      <c r="I118" s="12"/>
      <c r="J118" s="18"/>
      <c r="K118" s="12"/>
      <c r="L118" s="14"/>
      <c r="M118" s="14"/>
      <c r="N118" s="12"/>
      <c r="O118" s="15"/>
      <c r="P118" s="12"/>
      <c r="Q118" s="14"/>
      <c r="R118" s="16"/>
      <c r="S118" s="12"/>
      <c r="T118" s="12"/>
      <c r="U118" s="12"/>
    </row>
  </sheetData>
  <sheetProtection/>
  <mergeCells count="7">
    <mergeCell ref="A22:U22"/>
    <mergeCell ref="A2:U2"/>
    <mergeCell ref="A4:A5"/>
    <mergeCell ref="B4:I4"/>
    <mergeCell ref="J4:S4"/>
    <mergeCell ref="T4:T5"/>
    <mergeCell ref="U4:U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IZERIMANA Hugues</cp:lastModifiedBy>
  <cp:lastPrinted>2016-08-22T15:17:49Z</cp:lastPrinted>
  <dcterms:created xsi:type="dcterms:W3CDTF">2000-09-13T06:05:15Z</dcterms:created>
  <dcterms:modified xsi:type="dcterms:W3CDTF">2024-04-02T08:39:12Z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