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" yWindow="45" windowWidth="9315" windowHeight="8025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etsfinapassif'!$A$1:$I$263</definedName>
    <definedName name="Zone_impres_MI">'ii5-2sitconso des etsfinapassif'!$A$1:$I$260</definedName>
  </definedNames>
  <calcPr calcId="145621"/>
</workbook>
</file>

<file path=xl/calcChain.xml><?xml version="1.0" encoding="utf-8"?>
<calcChain xmlns="http://schemas.openxmlformats.org/spreadsheetml/2006/main">
  <c r="I257" i="1" l="1"/>
  <c r="H257" i="1"/>
  <c r="G257" i="1"/>
  <c r="E257" i="1"/>
  <c r="D257" i="1"/>
  <c r="B257" i="1"/>
  <c r="F257" i="1"/>
  <c r="H51" i="1" l="1"/>
  <c r="G51" i="1"/>
  <c r="F51" i="1"/>
  <c r="E51" i="1"/>
  <c r="D51" i="1"/>
  <c r="B51" i="1"/>
  <c r="I51" i="1" s="1"/>
  <c r="I256" i="1" l="1"/>
  <c r="H256" i="1"/>
  <c r="G256" i="1"/>
  <c r="F256" i="1"/>
  <c r="E256" i="1"/>
  <c r="D256" i="1"/>
  <c r="B256" i="1"/>
  <c r="I199" i="1" l="1"/>
  <c r="I200" i="1"/>
  <c r="I201" i="1"/>
  <c r="I202" i="1"/>
  <c r="I203" i="1"/>
  <c r="I204" i="1"/>
  <c r="I205" i="1"/>
  <c r="I206" i="1"/>
  <c r="I207" i="1"/>
  <c r="I208" i="1"/>
  <c r="I209" i="1"/>
  <c r="H254" i="1" l="1"/>
  <c r="G254" i="1"/>
  <c r="H255" i="1"/>
  <c r="G255" i="1"/>
  <c r="F255" i="1"/>
  <c r="E255" i="1"/>
  <c r="D255" i="1"/>
  <c r="B255" i="1"/>
  <c r="I255" i="1" s="1"/>
  <c r="E254" i="1" l="1"/>
  <c r="D254" i="1"/>
  <c r="B254" i="1"/>
  <c r="I254" i="1" s="1"/>
  <c r="I50" i="1" l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39" i="2"/>
  <c r="I253" i="1" l="1"/>
  <c r="I181" i="1"/>
  <c r="I171" i="1"/>
  <c r="I239" i="1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25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1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I252" i="1" l="1"/>
  <c r="I251" i="1" l="1"/>
  <c r="I249" i="1" l="1"/>
  <c r="I248" i="1"/>
  <c r="I247" i="1" l="1"/>
  <c r="I246" i="1" l="1"/>
  <c r="I245" i="1" l="1"/>
  <c r="I244" i="1" l="1"/>
  <c r="I243" i="1" l="1"/>
  <c r="I241" i="1"/>
  <c r="I242" i="1" l="1"/>
  <c r="I240" i="1" l="1"/>
  <c r="I238" i="1" l="1"/>
  <c r="I236" i="1" l="1"/>
  <c r="I235" i="1" l="1"/>
  <c r="I234" i="1" l="1"/>
  <c r="I233" i="1" l="1"/>
  <c r="I232" i="1" l="1"/>
  <c r="I231" i="1" l="1"/>
  <c r="I230" i="1" l="1"/>
  <c r="I229" i="1" l="1"/>
  <c r="I228" i="1" l="1"/>
  <c r="I227" i="1" l="1"/>
  <c r="I226" i="1" l="1"/>
  <c r="I225" i="1" l="1"/>
  <c r="I196" i="1" l="1"/>
  <c r="I223" i="1" l="1"/>
  <c r="I222" i="1" l="1"/>
  <c r="I221" i="1" l="1"/>
  <c r="I220" i="1" l="1"/>
  <c r="I219" i="1" l="1"/>
  <c r="I218" i="1" l="1"/>
  <c r="I217" i="1" l="1"/>
  <c r="I216" i="1" l="1"/>
  <c r="I215" i="1" l="1"/>
  <c r="I32" i="1"/>
  <c r="H31" i="1"/>
  <c r="G31" i="1"/>
  <c r="F31" i="1"/>
  <c r="E31" i="1"/>
  <c r="D31" i="1"/>
  <c r="I214" i="1" l="1"/>
  <c r="I31" i="1"/>
  <c r="I213" i="1" l="1"/>
  <c r="I210" i="1"/>
  <c r="I212" i="1"/>
  <c r="H30" i="1" l="1"/>
  <c r="G30" i="1"/>
  <c r="F30" i="1"/>
  <c r="E30" i="1"/>
  <c r="D30" i="1"/>
  <c r="I30" i="1" l="1"/>
  <c r="H28" i="1" l="1"/>
  <c r="G28" i="1"/>
  <c r="F28" i="1"/>
  <c r="E28" i="1"/>
  <c r="D28" i="1"/>
  <c r="I28" i="1" l="1"/>
  <c r="I197" i="1" l="1"/>
  <c r="I195" i="1" l="1"/>
  <c r="I194" i="1" l="1"/>
  <c r="I193" i="1" l="1"/>
  <c r="I192" i="1" l="1"/>
  <c r="I191" i="1" l="1"/>
  <c r="I190" i="1" l="1"/>
  <c r="I189" i="1" l="1"/>
  <c r="I188" i="1" l="1"/>
  <c r="I187" i="1" l="1"/>
  <c r="I186" i="1" l="1"/>
  <c r="I184" i="1" l="1"/>
  <c r="I183" i="1" l="1"/>
  <c r="I182" i="1" l="1"/>
  <c r="I180" i="1" l="1"/>
  <c r="I179" i="1" l="1"/>
  <c r="I178" i="1" l="1"/>
  <c r="I177" i="1" l="1"/>
  <c r="I176" i="1" l="1"/>
  <c r="I175" i="1" l="1"/>
  <c r="I174" i="1" l="1"/>
  <c r="I173" i="1" l="1"/>
  <c r="H170" i="1" l="1"/>
  <c r="G170" i="1"/>
  <c r="E170" i="1"/>
  <c r="D170" i="1"/>
  <c r="F170" i="1"/>
  <c r="I170" i="1" l="1"/>
  <c r="F169" i="1"/>
  <c r="E169" i="1"/>
  <c r="D169" i="1"/>
  <c r="E168" i="1"/>
  <c r="D168" i="1"/>
  <c r="B168" i="1"/>
  <c r="F168" i="1"/>
  <c r="B167" i="1"/>
  <c r="F167" i="1"/>
  <c r="E167" i="1"/>
  <c r="D167" i="1"/>
  <c r="D166" i="1"/>
  <c r="E166" i="1"/>
  <c r="F166" i="1"/>
  <c r="F165" i="1"/>
  <c r="E165" i="1"/>
  <c r="D165" i="1"/>
  <c r="D164" i="1"/>
  <c r="E164" i="1"/>
  <c r="F164" i="1"/>
  <c r="E163" i="1"/>
  <c r="F163" i="1"/>
  <c r="D163" i="1"/>
  <c r="D120" i="1"/>
  <c r="E120" i="1"/>
  <c r="F120" i="1"/>
  <c r="G120" i="1"/>
  <c r="H120" i="1"/>
  <c r="F162" i="1"/>
  <c r="E162" i="1"/>
  <c r="D162" i="1"/>
  <c r="E161" i="1"/>
  <c r="D161" i="1"/>
  <c r="F161" i="1"/>
  <c r="E160" i="1"/>
  <c r="D160" i="1"/>
  <c r="F160" i="1"/>
  <c r="F158" i="1"/>
  <c r="E158" i="1"/>
  <c r="D158" i="1"/>
  <c r="E157" i="1"/>
  <c r="D157" i="1"/>
  <c r="F157" i="1"/>
  <c r="E156" i="1"/>
  <c r="D156" i="1"/>
  <c r="F156" i="1"/>
  <c r="E155" i="1"/>
  <c r="F155" i="1"/>
  <c r="D155" i="1"/>
  <c r="F154" i="1"/>
  <c r="E154" i="1"/>
  <c r="D154" i="1"/>
  <c r="F153" i="1"/>
  <c r="E153" i="1"/>
  <c r="D153" i="1"/>
  <c r="F152" i="1"/>
  <c r="E152" i="1"/>
  <c r="D152" i="1"/>
  <c r="E151" i="1"/>
  <c r="D151" i="1"/>
  <c r="F151" i="1"/>
  <c r="E150" i="1"/>
  <c r="D150" i="1"/>
  <c r="F150" i="1"/>
  <c r="E149" i="1"/>
  <c r="D149" i="1"/>
  <c r="F149" i="1"/>
  <c r="E148" i="1"/>
  <c r="F148" i="1"/>
  <c r="D148" i="1"/>
  <c r="E147" i="1"/>
  <c r="D147" i="1"/>
  <c r="F147" i="1"/>
  <c r="D17" i="1"/>
  <c r="E17" i="1"/>
  <c r="F17" i="1"/>
  <c r="G17" i="1"/>
  <c r="H17" i="1"/>
  <c r="F145" i="1"/>
  <c r="E145" i="1"/>
  <c r="D145" i="1"/>
  <c r="F144" i="1"/>
  <c r="E144" i="1"/>
  <c r="D144" i="1"/>
  <c r="B53" i="1"/>
  <c r="C53" i="1"/>
  <c r="D53" i="1"/>
  <c r="E53" i="1"/>
  <c r="F53" i="1"/>
  <c r="G53" i="1"/>
  <c r="H53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I139" i="1"/>
  <c r="E138" i="1"/>
  <c r="D138" i="1"/>
  <c r="F138" i="1"/>
  <c r="F137" i="1"/>
  <c r="E137" i="1"/>
  <c r="D137" i="1"/>
  <c r="F136" i="1"/>
  <c r="E136" i="1"/>
  <c r="D136" i="1"/>
  <c r="E135" i="1"/>
  <c r="D135" i="1"/>
  <c r="F135" i="1"/>
  <c r="E134" i="1"/>
  <c r="D134" i="1"/>
  <c r="F134" i="1"/>
  <c r="F132" i="1"/>
  <c r="E132" i="1"/>
  <c r="D132" i="1"/>
  <c r="H131" i="1"/>
  <c r="G131" i="1"/>
  <c r="E131" i="1"/>
  <c r="D131" i="1"/>
  <c r="F131" i="1"/>
  <c r="H130" i="1"/>
  <c r="G130" i="1"/>
  <c r="E130" i="1"/>
  <c r="D130" i="1"/>
  <c r="F130" i="1"/>
  <c r="G129" i="1"/>
  <c r="D129" i="1"/>
  <c r="H129" i="1"/>
  <c r="F129" i="1"/>
  <c r="E129" i="1"/>
  <c r="H128" i="1"/>
  <c r="G128" i="1"/>
  <c r="E128" i="1"/>
  <c r="D128" i="1"/>
  <c r="F128" i="1"/>
  <c r="H127" i="1"/>
  <c r="G127" i="1"/>
  <c r="E127" i="1"/>
  <c r="D127" i="1"/>
  <c r="F127" i="1"/>
  <c r="H126" i="1"/>
  <c r="G126" i="1"/>
  <c r="F126" i="1"/>
  <c r="E126" i="1"/>
  <c r="D126" i="1"/>
  <c r="B97" i="1"/>
  <c r="D97" i="1"/>
  <c r="E97" i="1"/>
  <c r="F97" i="1"/>
  <c r="G97" i="1"/>
  <c r="H97" i="1"/>
  <c r="F125" i="1"/>
  <c r="I125" i="1" s="1"/>
  <c r="H124" i="1"/>
  <c r="G124" i="1"/>
  <c r="E124" i="1"/>
  <c r="D124" i="1"/>
  <c r="F124" i="1"/>
  <c r="H123" i="1"/>
  <c r="G123" i="1"/>
  <c r="F123" i="1"/>
  <c r="E123" i="1"/>
  <c r="D123" i="1"/>
  <c r="D122" i="1"/>
  <c r="E122" i="1"/>
  <c r="F122" i="1"/>
  <c r="G122" i="1"/>
  <c r="H122" i="1"/>
  <c r="F121" i="1"/>
  <c r="I121" i="1" s="1"/>
  <c r="H118" i="1"/>
  <c r="G118" i="1"/>
  <c r="F118" i="1"/>
  <c r="E118" i="1"/>
  <c r="D118" i="1"/>
  <c r="H117" i="1"/>
  <c r="G117" i="1"/>
  <c r="E117" i="1"/>
  <c r="D117" i="1"/>
  <c r="F117" i="1"/>
  <c r="H116" i="1"/>
  <c r="G116" i="1"/>
  <c r="E116" i="1"/>
  <c r="D116" i="1"/>
  <c r="F116" i="1"/>
  <c r="H115" i="1"/>
  <c r="G115" i="1"/>
  <c r="E115" i="1"/>
  <c r="D115" i="1"/>
  <c r="F115" i="1"/>
  <c r="H114" i="1"/>
  <c r="G114" i="1"/>
  <c r="F114" i="1"/>
  <c r="E114" i="1"/>
  <c r="D114" i="1"/>
  <c r="H113" i="1"/>
  <c r="G113" i="1"/>
  <c r="E113" i="1"/>
  <c r="D113" i="1"/>
  <c r="F113" i="1"/>
  <c r="H112" i="1"/>
  <c r="G112" i="1"/>
  <c r="E112" i="1"/>
  <c r="D112" i="1"/>
  <c r="F112" i="1"/>
  <c r="H111" i="1"/>
  <c r="G111" i="1"/>
  <c r="F111" i="1"/>
  <c r="E111" i="1"/>
  <c r="D111" i="1"/>
  <c r="H110" i="1"/>
  <c r="G110" i="1"/>
  <c r="E110" i="1"/>
  <c r="D110" i="1"/>
  <c r="F110" i="1"/>
  <c r="H109" i="1"/>
  <c r="G109" i="1"/>
  <c r="F109" i="1"/>
  <c r="E109" i="1"/>
  <c r="D109" i="1"/>
  <c r="H108" i="1"/>
  <c r="G108" i="1"/>
  <c r="E108" i="1"/>
  <c r="D108" i="1"/>
  <c r="F108" i="1"/>
  <c r="H107" i="1"/>
  <c r="G107" i="1"/>
  <c r="F107" i="1"/>
  <c r="E107" i="1"/>
  <c r="D107" i="1"/>
  <c r="H104" i="1"/>
  <c r="G104" i="1"/>
  <c r="E104" i="1"/>
  <c r="D104" i="1"/>
  <c r="F104" i="1"/>
  <c r="H103" i="1"/>
  <c r="G103" i="1"/>
  <c r="E103" i="1"/>
  <c r="D103" i="1"/>
  <c r="F103" i="1"/>
  <c r="H102" i="1"/>
  <c r="G102" i="1"/>
  <c r="E102" i="1"/>
  <c r="D102" i="1"/>
  <c r="F102" i="1"/>
  <c r="G101" i="1"/>
  <c r="H101" i="1"/>
  <c r="F101" i="1"/>
  <c r="E101" i="1"/>
  <c r="D101" i="1"/>
  <c r="H100" i="1"/>
  <c r="G100" i="1"/>
  <c r="D100" i="1"/>
  <c r="E100" i="1"/>
  <c r="F100" i="1"/>
  <c r="H99" i="1"/>
  <c r="G99" i="1"/>
  <c r="F99" i="1"/>
  <c r="E99" i="1"/>
  <c r="D99" i="1"/>
  <c r="H98" i="1"/>
  <c r="G98" i="1"/>
  <c r="F98" i="1"/>
  <c r="E98" i="1"/>
  <c r="D98" i="1"/>
  <c r="H96" i="1"/>
  <c r="G96" i="1"/>
  <c r="E96" i="1"/>
  <c r="D96" i="1"/>
  <c r="F96" i="1"/>
  <c r="H95" i="1"/>
  <c r="G95" i="1"/>
  <c r="E95" i="1"/>
  <c r="B95" i="1"/>
  <c r="F95" i="1"/>
  <c r="D95" i="1"/>
  <c r="H94" i="1"/>
  <c r="G94" i="1"/>
  <c r="E94" i="1"/>
  <c r="B94" i="1"/>
  <c r="D94" i="1"/>
  <c r="F94" i="1"/>
  <c r="H93" i="1"/>
  <c r="G93" i="1"/>
  <c r="F93" i="1"/>
  <c r="E93" i="1"/>
  <c r="D93" i="1"/>
  <c r="B93" i="1"/>
  <c r="H91" i="1"/>
  <c r="G91" i="1"/>
  <c r="F91" i="1"/>
  <c r="E91" i="1"/>
  <c r="D91" i="1"/>
  <c r="B91" i="1"/>
  <c r="H90" i="1"/>
  <c r="G90" i="1"/>
  <c r="F90" i="1"/>
  <c r="E90" i="1"/>
  <c r="D90" i="1"/>
  <c r="B90" i="1"/>
  <c r="H89" i="1"/>
  <c r="G89" i="1"/>
  <c r="B89" i="1"/>
  <c r="F89" i="1"/>
  <c r="E89" i="1"/>
  <c r="D89" i="1"/>
  <c r="H88" i="1"/>
  <c r="G88" i="1"/>
  <c r="F88" i="1"/>
  <c r="E88" i="1"/>
  <c r="D88" i="1"/>
  <c r="B88" i="1"/>
  <c r="H87" i="1"/>
  <c r="G87" i="1"/>
  <c r="E87" i="1"/>
  <c r="D87" i="1"/>
  <c r="B87" i="1"/>
  <c r="F87" i="1"/>
  <c r="G86" i="1"/>
  <c r="H86" i="1"/>
  <c r="B86" i="1"/>
  <c r="E86" i="1"/>
  <c r="D86" i="1"/>
  <c r="F86" i="1"/>
  <c r="H85" i="1"/>
  <c r="G85" i="1"/>
  <c r="F85" i="1"/>
  <c r="E85" i="1"/>
  <c r="D85" i="1"/>
  <c r="B85" i="1"/>
  <c r="H84" i="1"/>
  <c r="G84" i="1"/>
  <c r="E84" i="1"/>
  <c r="D84" i="1"/>
  <c r="B84" i="1"/>
  <c r="F84" i="1"/>
  <c r="H83" i="1"/>
  <c r="G83" i="1"/>
  <c r="E83" i="1"/>
  <c r="B83" i="1"/>
  <c r="F83" i="1"/>
  <c r="D83" i="1"/>
  <c r="H82" i="1"/>
  <c r="G82" i="1"/>
  <c r="B82" i="1"/>
  <c r="E82" i="1"/>
  <c r="F82" i="1"/>
  <c r="D82" i="1"/>
  <c r="H81" i="1"/>
  <c r="G81" i="1"/>
  <c r="E81" i="1"/>
  <c r="D81" i="1"/>
  <c r="B81" i="1"/>
  <c r="F81" i="1"/>
  <c r="H80" i="1"/>
  <c r="G80" i="1"/>
  <c r="F80" i="1"/>
  <c r="E80" i="1"/>
  <c r="B80" i="1"/>
  <c r="D80" i="1"/>
  <c r="F78" i="1"/>
  <c r="B78" i="1"/>
  <c r="D78" i="1"/>
  <c r="E78" i="1"/>
  <c r="G78" i="1"/>
  <c r="H78" i="1"/>
  <c r="H77" i="1"/>
  <c r="G77" i="1"/>
  <c r="D77" i="1"/>
  <c r="B77" i="1"/>
  <c r="E77" i="1"/>
  <c r="F77" i="1"/>
  <c r="H76" i="1"/>
  <c r="G76" i="1"/>
  <c r="E76" i="1"/>
  <c r="B76" i="1"/>
  <c r="D76" i="1"/>
  <c r="F76" i="1"/>
  <c r="H75" i="1"/>
  <c r="G75" i="1"/>
  <c r="E75" i="1"/>
  <c r="B75" i="1"/>
  <c r="F75" i="1"/>
  <c r="D75" i="1"/>
  <c r="I74" i="1"/>
  <c r="H73" i="1"/>
  <c r="G73" i="1"/>
  <c r="E73" i="1"/>
  <c r="B73" i="1"/>
  <c r="D73" i="1"/>
  <c r="F73" i="1"/>
  <c r="H72" i="1"/>
  <c r="G72" i="1"/>
  <c r="E72" i="1"/>
  <c r="B72" i="1"/>
  <c r="F72" i="1"/>
  <c r="D72" i="1"/>
  <c r="H71" i="1"/>
  <c r="G71" i="1"/>
  <c r="E71" i="1"/>
  <c r="D71" i="1"/>
  <c r="B71" i="1"/>
  <c r="H70" i="1"/>
  <c r="F71" i="1"/>
  <c r="H69" i="1"/>
  <c r="H68" i="1"/>
  <c r="H67" i="1"/>
  <c r="G70" i="1"/>
  <c r="G69" i="1"/>
  <c r="G68" i="1"/>
  <c r="G67" i="1"/>
  <c r="F67" i="1"/>
  <c r="E70" i="1"/>
  <c r="E69" i="1"/>
  <c r="E68" i="1"/>
  <c r="E67" i="1"/>
  <c r="D70" i="1"/>
  <c r="D69" i="1"/>
  <c r="D68" i="1"/>
  <c r="D67" i="1"/>
  <c r="B70" i="1"/>
  <c r="B69" i="1"/>
  <c r="B68" i="1"/>
  <c r="B67" i="1"/>
  <c r="F70" i="1"/>
  <c r="F69" i="1"/>
  <c r="F68" i="1"/>
  <c r="G64" i="1"/>
  <c r="H64" i="1"/>
  <c r="F64" i="1"/>
  <c r="E64" i="1"/>
  <c r="B64" i="1"/>
  <c r="D64" i="1"/>
  <c r="H63" i="1"/>
  <c r="G63" i="1"/>
  <c r="E63" i="1"/>
  <c r="B63" i="1"/>
  <c r="F63" i="1"/>
  <c r="D63" i="1"/>
  <c r="H62" i="1"/>
  <c r="G62" i="1"/>
  <c r="E62" i="1"/>
  <c r="B62" i="1"/>
  <c r="F62" i="1"/>
  <c r="D62" i="1"/>
  <c r="H61" i="1"/>
  <c r="G61" i="1"/>
  <c r="F61" i="1"/>
  <c r="E61" i="1"/>
  <c r="D61" i="1"/>
  <c r="B61" i="1"/>
  <c r="H60" i="1"/>
  <c r="G60" i="1"/>
  <c r="F60" i="1"/>
  <c r="E60" i="1"/>
  <c r="D60" i="1"/>
  <c r="B60" i="1"/>
  <c r="C60" i="1"/>
  <c r="H59" i="1"/>
  <c r="G59" i="1"/>
  <c r="F59" i="1"/>
  <c r="E59" i="1"/>
  <c r="D59" i="1"/>
  <c r="B59" i="1"/>
  <c r="C59" i="1"/>
  <c r="G58" i="1"/>
  <c r="B58" i="1"/>
  <c r="H58" i="1"/>
  <c r="F58" i="1"/>
  <c r="E58" i="1"/>
  <c r="D58" i="1"/>
  <c r="C58" i="1"/>
  <c r="H57" i="1"/>
  <c r="G57" i="1"/>
  <c r="E57" i="1"/>
  <c r="D57" i="1"/>
  <c r="B57" i="1"/>
  <c r="C57" i="1"/>
  <c r="F57" i="1"/>
  <c r="H56" i="1"/>
  <c r="G56" i="1"/>
  <c r="E56" i="1"/>
  <c r="D56" i="1"/>
  <c r="B56" i="1"/>
  <c r="C56" i="1"/>
  <c r="F56" i="1"/>
  <c r="G55" i="1"/>
  <c r="B55" i="1"/>
  <c r="C55" i="1"/>
  <c r="D55" i="1"/>
  <c r="E55" i="1"/>
  <c r="F55" i="1"/>
  <c r="H55" i="1"/>
  <c r="H54" i="1"/>
  <c r="G54" i="1"/>
  <c r="E54" i="1"/>
  <c r="D54" i="1"/>
  <c r="B54" i="1"/>
  <c r="C54" i="1"/>
  <c r="F54" i="1"/>
  <c r="I98" i="1" l="1"/>
  <c r="I114" i="1"/>
  <c r="I118" i="1"/>
  <c r="I141" i="1"/>
  <c r="I143" i="1"/>
  <c r="I144" i="1"/>
  <c r="I148" i="1"/>
  <c r="I152" i="1"/>
  <c r="I153" i="1"/>
  <c r="I155" i="1"/>
  <c r="I165" i="1"/>
  <c r="I96" i="1"/>
  <c r="I99" i="1"/>
  <c r="I101" i="1"/>
  <c r="I103" i="1"/>
  <c r="I107" i="1"/>
  <c r="I109" i="1"/>
  <c r="I111" i="1"/>
  <c r="I113" i="1"/>
  <c r="I115" i="1"/>
  <c r="I117" i="1"/>
  <c r="I123" i="1"/>
  <c r="I140" i="1"/>
  <c r="I142" i="1"/>
  <c r="I53" i="1"/>
  <c r="I145" i="1"/>
  <c r="I147" i="1"/>
  <c r="I149" i="1"/>
  <c r="I151" i="1"/>
  <c r="I154" i="1"/>
  <c r="I156" i="1"/>
  <c r="I158" i="1"/>
  <c r="I162" i="1"/>
  <c r="I163" i="1"/>
  <c r="I100" i="1"/>
  <c r="I102" i="1"/>
  <c r="I104" i="1"/>
  <c r="I108" i="1"/>
  <c r="I110" i="1"/>
  <c r="I112" i="1"/>
  <c r="I116" i="1"/>
  <c r="I122" i="1"/>
  <c r="I124" i="1"/>
  <c r="I97" i="1"/>
  <c r="I17" i="1"/>
  <c r="I150" i="1"/>
  <c r="I157" i="1"/>
  <c r="I160" i="1"/>
  <c r="I161" i="1"/>
  <c r="I120" i="1"/>
  <c r="I164" i="1"/>
  <c r="I88" i="1"/>
  <c r="I129" i="1"/>
  <c r="I136" i="1"/>
  <c r="I80" i="1"/>
  <c r="I166" i="1"/>
  <c r="I59" i="1"/>
  <c r="I61" i="1"/>
  <c r="I64" i="1"/>
  <c r="I54" i="1"/>
  <c r="I56" i="1"/>
  <c r="I58" i="1"/>
  <c r="I60" i="1"/>
  <c r="I70" i="1"/>
  <c r="I72" i="1"/>
  <c r="I84" i="1"/>
  <c r="I55" i="1"/>
  <c r="I57" i="1"/>
  <c r="I71" i="1"/>
  <c r="I76" i="1"/>
  <c r="I167" i="1"/>
  <c r="I63" i="1"/>
  <c r="I78" i="1"/>
  <c r="I86" i="1"/>
  <c r="I94" i="1"/>
  <c r="I67" i="1"/>
  <c r="I68" i="1"/>
  <c r="I82" i="1"/>
  <c r="I90" i="1"/>
  <c r="I91" i="1"/>
  <c r="I168" i="1"/>
  <c r="I169" i="1"/>
  <c r="I62" i="1"/>
  <c r="I73" i="1"/>
  <c r="I77" i="1"/>
  <c r="I81" i="1"/>
  <c r="I85" i="1"/>
  <c r="I89" i="1"/>
  <c r="I93" i="1"/>
  <c r="I126" i="1"/>
  <c r="I128" i="1"/>
  <c r="I130" i="1"/>
  <c r="I132" i="1"/>
  <c r="I135" i="1"/>
  <c r="I137" i="1"/>
  <c r="I69" i="1"/>
  <c r="I75" i="1"/>
  <c r="I83" i="1"/>
  <c r="I87" i="1"/>
  <c r="I95" i="1"/>
  <c r="I127" i="1"/>
  <c r="I131" i="1"/>
  <c r="I134" i="1"/>
  <c r="I138" i="1"/>
</calcChain>
</file>

<file path=xl/sharedStrings.xml><?xml version="1.0" encoding="utf-8"?>
<sst xmlns="http://schemas.openxmlformats.org/spreadsheetml/2006/main" count="473" uniqueCount="205">
  <si>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</si>
  <si>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</si>
  <si>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</si>
  <si>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</si>
  <si>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</si>
  <si>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</si>
  <si>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</si>
  <si>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</si>
  <si>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</si>
  <si>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</si>
  <si>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</si>
  <si>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</si>
  <si>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</si>
  <si>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</si>
  <si>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</si>
  <si>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</si>
  <si>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</si>
  <si>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</si>
  <si>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</si>
  <si>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</si>
  <si>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</si>
  <si>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</si>
  <si>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</si>
  <si>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</si>
  <si>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</si>
  <si>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</si>
  <si>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</si>
  <si>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</si>
  <si>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</si>
  <si>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</si>
  <si>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</si>
  <si>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</si>
  <si>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</si>
  <si>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</si>
  <si>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</si>
  <si>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</si>
  <si>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</si>
  <si>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</si>
  <si>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</si>
  <si>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</si>
  <si>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</si>
  <si>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</si>
  <si>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</si>
  <si>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</si>
  <si>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</si>
  <si>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</si>
  <si>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</si>
  <si>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</si>
  <si>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</si>
  <si>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</si>
  <si>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</si>
  <si>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</si>
  <si>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</si>
  <si>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</si>
  <si>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</si>
  <si>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</si>
  <si>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</si>
  <si>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</si>
  <si>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</si>
  <si>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</si>
  <si>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</si>
  <si>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</si>
  <si>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</si>
  <si>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</si>
  <si>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</si>
  <si>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</si>
  <si>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</si>
  <si>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</si>
  <si>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</si>
  <si>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</si>
  <si>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</si>
  <si>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</si>
  <si>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</si>
  <si>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</si>
  <si>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</si>
  <si>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</si>
  <si>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</si>
  <si>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</si>
  <si>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</si>
  <si>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</si>
  <si>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</si>
  <si>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</si>
  <si>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</si>
  <si>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</si>
  <si>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</si>
  <si>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</si>
  <si>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</si>
  <si>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</si>
  <si>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</si>
  <si>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</si>
  <si>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</si>
  <si>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</si>
  <si>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</si>
  <si>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</si>
  <si>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</si>
  <si>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</si>
  <si>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</si>
  <si>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</si>
  <si>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</si>
  <si>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</si>
  <si>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</si>
  <si>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</si>
  <si>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</si>
  <si>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</si>
  <si>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</si>
  <si>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</si>
  <si>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</si>
  <si>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</si>
  <si>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</si>
  <si>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</si>
  <si>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</si>
  <si>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</si>
  <si>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</si>
  <si>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</si>
  <si>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</si>
  <si>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</si>
  <si>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</si>
  <si>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</si>
  <si>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</si>
  <si>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</si>
  <si>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</si>
  <si>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</si>
  <si>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</si>
  <si>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</si>
  <si>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</si>
  <si>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</si>
  <si>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</si>
  <si>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</si>
  <si>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</si>
  <si>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</si>
  <si>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</si>
  <si>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</si>
  <si>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</si>
  <si>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</si>
  <si>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</si>
  <si>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</si>
  <si>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</si>
  <si>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</si>
  <si>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</si>
  <si>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</si>
  <si>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</si>
  <si>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</si>
  <si>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</si>
  <si>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</si>
  <si>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</si>
  <si>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</si>
  <si>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</si>
  <si>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</si>
  <si>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</si>
  <si>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</si>
  <si>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</si>
  <si>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</si>
  <si>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</si>
  <si>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</si>
  <si>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</si>
  <si>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</si>
  <si>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</si>
  <si>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</si>
  <si>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</si>
  <si>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</si>
  <si>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</si>
  <si>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</si>
  <si>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</si>
  <si>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</si>
  <si>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</si>
  <si>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</si>
  <si>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</si>
  <si>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</si>
  <si>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</si>
  <si>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</si>
  <si>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</si>
  <si>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</si>
  <si>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</si>
  <si>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</si>
  <si>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</si>
  <si>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</si>
  <si>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</si>
  <si>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</si>
  <si>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</si>
  <si>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</si>
  <si>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</si>
  <si>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</si>
  <si>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</si>
  <si>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 xml:space="preserve"> 2013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</si>
  <si>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</si>
  <si>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</si>
  <si>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</si>
  <si>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</si>
  <si>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</si>
  <si>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</si>
  <si>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</si>
  <si>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</si>
  <si>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</si>
  <si>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</si>
  <si>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</si>
  <si>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</si>
  <si>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</si>
  <si>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</si>
  <si>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</si>
  <si>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</si>
  <si>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</si>
  <si>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</si>
  <si>
    <t>2015   Mai</t>
  </si>
  <si>
    <t>²</t>
  </si>
  <si>
    <t>2015 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</si>
</sst>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;[Red]\(#,##0\)"/>
    <numFmt numFmtId="172" formatCode="_-* #,##0.00\ _F_-;\-* #,##0.00\ _F_-;_-* &quot;-&quot;??\ _F_-;_-@_-"/>
    <numFmt numFmtId="173" formatCode="_(* #,##0.00_);_(* \(#,##0.00\);_(* &quot;-&quot;??_);_(@_)"/>
    <numFmt numFmtId="174" formatCode="_ * #,##0.00_ ;_ * \-#,##0.00_ ;_ * &quot;-&quot;??_ ;_ @_ "/>
    <numFmt numFmtId="175" formatCode="&quot;$&quot;#,##0_);\(&quot;$&quot;#,##0\)"/>
    <numFmt numFmtId="176" formatCode="0.0"/>
    <numFmt numFmtId="177" formatCode="_-[$€-2]* #,##0.00_-;\-[$€-2]* #,##0.00_-;_-[$€-2]* &quot;-&quot;??_-"/>
    <numFmt numFmtId="178" formatCode="_-* #,##0.00\ [$€]_-;\-* #,##0.00\ [$€]_-;_-* &quot;-&quot;??\ [$€]_-;_-@_-"/>
    <numFmt numFmtId="179" formatCode="General_)"/>
    <numFmt numFmtId="180" formatCode="#,#00"/>
    <numFmt numFmtId="181" formatCode="#,"/>
    <numFmt numFmtId="182" formatCode="0_)"/>
    <numFmt numFmtId="183" formatCode="_(* #,##0_);_(* \(#,##0\);_(* &quot;-&quot;_);_(@_)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\ &quot;F&quot;_-;\-* #,##0.00\ &quot;F&quot;_-;_-* &quot;-&quot;??\ &quot;F&quot;_-;_-@_-"/>
    <numFmt numFmtId="190" formatCode="&quot;$&quot;#,#00"/>
    <numFmt numFmtId="191" formatCode="&quot;$&quot;#,"/>
    <numFmt numFmtId="192" formatCode="0.0_)"/>
    <numFmt numFmtId="193" formatCode="[&gt;=0.05]#,##0.0;[&lt;=-0.05]\-#,##0.0;?\-\-"/>
    <numFmt numFmtId="194" formatCode="[&gt;=0.05]#,##0.0;[&lt;=-0.05]\-#,##0.0;?0.0"/>
    <numFmt numFmtId="195" formatCode="[&gt;=0.05]\(#,##0.0\);[&lt;=-0.05]\(\-#,##0.0\);?\(\-\-\)"/>
    <numFmt numFmtId="196" formatCode="[&gt;=0.05]\(#,##0.0\);[&lt;=-0.05]\(\-#,##0.0\);\(\-\-\);\(@\)"/>
    <numFmt numFmtId="197" formatCode="[Black]#,##0.0;[Black]\-#,##0.0;;"/>
    <numFmt numFmtId="198" formatCode="[Black][&gt;0.05]#,##0.0;[Black][&lt;-0.05]\-#,##0.0;;"/>
    <numFmt numFmtId="199" formatCode="[Black][&gt;0.5]#,##0;[Black][&lt;-0.5]\-#,##0;;"/>
    <numFmt numFmtId="200" formatCode="%#,#00"/>
    <numFmt numFmtId="201" formatCode="#.##000"/>
    <numFmt numFmtId="202" formatCode="dd\-mmm\-yy_)"/>
    <numFmt numFmtId="203" formatCode="#,##0.0____"/>
    <numFmt numFmtId="204" formatCode="#.##0,"/>
    <numFmt numFmtId="205" formatCode="#,##0.000000"/>
    <numFmt numFmtId="206" formatCode="General\ \ \ \ \ \ "/>
    <numFmt numFmtId="207" formatCode="0.0\ \ \ \ \ \ \ \ "/>
    <numFmt numFmtId="208" formatCode="mmmm\ yyyy"/>
    <numFmt numFmtId="209" formatCode="\$#,##0.00\ ;\(\$#,##0.00\)"/>
  </numFmts>
  <fonts count="8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name val="Arial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67">
    <xf numFmtId="164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5">
      <protection hidden="1"/>
    </xf>
    <xf numFmtId="0" fontId="10" fillId="3" borderId="5" applyNumberFormat="0" applyFont="0" applyBorder="0" applyAlignment="0" applyProtection="0">
      <protection hidden="1"/>
    </xf>
    <xf numFmtId="0" fontId="11" fillId="0" borderId="0"/>
    <xf numFmtId="0" fontId="12" fillId="0" borderId="0"/>
    <xf numFmtId="2" fontId="13" fillId="0" borderId="0">
      <protection locked="0"/>
    </xf>
    <xf numFmtId="2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5" fillId="4" borderId="12">
      <alignment horizontal="right" vertical="center"/>
    </xf>
    <xf numFmtId="0" fontId="16" fillId="4" borderId="12">
      <alignment horizontal="right" vertical="center"/>
    </xf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7" fillId="5" borderId="12">
      <alignment horizontal="center" vertical="center"/>
    </xf>
    <xf numFmtId="0" fontId="15" fillId="4" borderId="12">
      <alignment horizontal="right"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8" fillId="4" borderId="12">
      <alignment horizontal="left" vertical="center"/>
    </xf>
    <xf numFmtId="0" fontId="18" fillId="4" borderId="14">
      <alignment vertical="center"/>
    </xf>
    <xf numFmtId="0" fontId="19" fillId="4" borderId="15">
      <alignment vertical="center"/>
    </xf>
    <xf numFmtId="0" fontId="18" fillId="4" borderId="12"/>
    <xf numFmtId="0" fontId="16" fillId="4" borderId="12">
      <alignment horizontal="right" vertical="center"/>
    </xf>
    <xf numFmtId="0" fontId="20" fillId="6" borderId="12">
      <alignment horizontal="left" vertical="center"/>
    </xf>
    <xf numFmtId="0" fontId="20" fillId="6" borderId="12">
      <alignment horizontal="left" vertical="center"/>
    </xf>
    <xf numFmtId="0" fontId="21" fillId="4" borderId="12">
      <alignment horizontal="left" vertical="center"/>
    </xf>
    <xf numFmtId="0" fontId="22" fillId="4" borderId="13"/>
    <xf numFmtId="0" fontId="17" fillId="7" borderId="12">
      <alignment horizontal="left" vertical="center"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8" borderId="16" applyNumberFormat="0" applyFont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" fontId="13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5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/>
    <xf numFmtId="0" fontId="13" fillId="0" borderId="0">
      <protection locked="0"/>
    </xf>
    <xf numFmtId="180" fontId="13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0" fontId="13" fillId="0" borderId="0">
      <protection locked="0"/>
    </xf>
    <xf numFmtId="38" fontId="28" fillId="7" borderId="0" applyNumberFormat="0" applyBorder="0" applyAlignment="0" applyProtection="0"/>
    <xf numFmtId="0" fontId="29" fillId="0" borderId="17" applyNumberFormat="0" applyAlignment="0" applyProtection="0">
      <alignment horizontal="left" vertical="center"/>
    </xf>
    <xf numFmtId="0" fontId="29" fillId="0" borderId="18">
      <alignment horizontal="left" vertical="center"/>
    </xf>
    <xf numFmtId="181" fontId="30" fillId="0" borderId="0">
      <protection locked="0"/>
    </xf>
    <xf numFmtId="181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28" fillId="4" borderId="12" applyNumberFormat="0" applyBorder="0" applyAlignment="0" applyProtection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5">
      <alignment horizontal="left"/>
      <protection locked="0"/>
    </xf>
    <xf numFmtId="1" fontId="23" fillId="0" borderId="0" applyNumberFormat="0" applyAlignment="0">
      <alignment horizontal="center"/>
    </xf>
    <xf numFmtId="182" fontId="39" fillId="0" borderId="0" applyNumberFormat="0">
      <alignment horizontal="centerContinuous"/>
    </xf>
    <xf numFmtId="18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13" fillId="0" borderId="0">
      <protection locked="0"/>
    </xf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13" fillId="0" borderId="0">
      <protection locked="0"/>
    </xf>
    <xf numFmtId="191" fontId="13" fillId="0" borderId="0">
      <protection locked="0"/>
    </xf>
    <xf numFmtId="0" fontId="41" fillId="0" borderId="0"/>
    <xf numFmtId="0" fontId="7" fillId="0" borderId="0"/>
    <xf numFmtId="0" fontId="42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79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79" fontId="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192" fontId="4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0" fontId="11" fillId="0" borderId="0"/>
    <xf numFmtId="0" fontId="5" fillId="0" borderId="0"/>
    <xf numFmtId="179" fontId="5" fillId="0" borderId="0"/>
    <xf numFmtId="0" fontId="11" fillId="0" borderId="0"/>
    <xf numFmtId="0" fontId="5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7" fillId="0" borderId="0"/>
    <xf numFmtId="179" fontId="5" fillId="0" borderId="0"/>
    <xf numFmtId="0" fontId="11" fillId="0" borderId="0"/>
    <xf numFmtId="179" fontId="5" fillId="0" borderId="0"/>
    <xf numFmtId="0" fontId="7" fillId="0" borderId="0"/>
    <xf numFmtId="179" fontId="5" fillId="0" borderId="0"/>
    <xf numFmtId="0" fontId="11" fillId="0" borderId="0"/>
    <xf numFmtId="179" fontId="5" fillId="0" borderId="0"/>
    <xf numFmtId="0" fontId="7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7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7" fillId="0" borderId="0"/>
    <xf numFmtId="179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5" fillId="0" borderId="0"/>
    <xf numFmtId="0" fontId="11" fillId="0" borderId="0"/>
    <xf numFmtId="0" fontId="7" fillId="0" borderId="0"/>
    <xf numFmtId="179" fontId="5" fillId="0" borderId="0"/>
    <xf numFmtId="0" fontId="5" fillId="0" borderId="0"/>
    <xf numFmtId="0" fontId="11" fillId="0" borderId="0"/>
    <xf numFmtId="0" fontId="7" fillId="0" borderId="0"/>
    <xf numFmtId="179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4" fontId="5" fillId="0" borderId="0"/>
    <xf numFmtId="0" fontId="11" fillId="0" borderId="0"/>
    <xf numFmtId="0" fontId="11" fillId="0" borderId="0"/>
    <xf numFmtId="0" fontId="5" fillId="0" borderId="0"/>
    <xf numFmtId="193" fontId="23" fillId="0" borderId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164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179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179" fontId="5" fillId="0" borderId="0"/>
    <xf numFmtId="0" fontId="11" fillId="0" borderId="0"/>
    <xf numFmtId="179" fontId="5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79" fontId="5" fillId="0" borderId="0"/>
    <xf numFmtId="17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4" fontId="23" fillId="0" borderId="0" applyFill="0" applyBorder="0" applyAlignment="0" applyProtection="0">
      <alignment horizontal="right"/>
    </xf>
    <xf numFmtId="195" fontId="44" fillId="0" borderId="0">
      <alignment horizontal="right"/>
    </xf>
    <xf numFmtId="196" fontId="44" fillId="0" borderId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13" fillId="0" borderId="0">
      <protection locked="0"/>
    </xf>
    <xf numFmtId="201" fontId="13" fillId="0" borderId="0">
      <protection locked="0"/>
    </xf>
    <xf numFmtId="202" fontId="11" fillId="0" borderId="0" applyFont="0" applyFill="0" applyBorder="0" applyAlignment="0" applyProtection="0"/>
    <xf numFmtId="200" fontId="13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203" fontId="23" fillId="0" borderId="0" applyFill="0" applyBorder="0" applyAlignment="0">
      <alignment horizontal="centerContinuous"/>
    </xf>
    <xf numFmtId="0" fontId="8" fillId="0" borderId="0"/>
    <xf numFmtId="201" fontId="13" fillId="0" borderId="0">
      <protection locked="0"/>
    </xf>
    <xf numFmtId="204" fontId="13" fillId="0" borderId="0">
      <protection locked="0"/>
    </xf>
    <xf numFmtId="0" fontId="45" fillId="0" borderId="5" applyNumberFormat="0" applyFill="0" applyBorder="0" applyAlignment="0" applyProtection="0">
      <protection hidden="1"/>
    </xf>
    <xf numFmtId="4" fontId="46" fillId="11" borderId="19" applyNumberFormat="0" applyProtection="0">
      <alignment vertical="center"/>
    </xf>
    <xf numFmtId="4" fontId="47" fillId="11" borderId="19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49" fillId="12" borderId="19" applyNumberFormat="0" applyProtection="0">
      <alignment horizontal="left" vertical="center" indent="1"/>
    </xf>
    <xf numFmtId="4" fontId="50" fillId="13" borderId="19" applyNumberFormat="0" applyProtection="0">
      <alignment vertical="center"/>
    </xf>
    <xf numFmtId="4" fontId="51" fillId="5" borderId="19" applyNumberFormat="0" applyProtection="0">
      <alignment vertical="center"/>
    </xf>
    <xf numFmtId="4" fontId="50" fillId="14" borderId="19" applyNumberFormat="0" applyProtection="0">
      <alignment vertical="center"/>
    </xf>
    <xf numFmtId="4" fontId="52" fillId="13" borderId="19" applyNumberFormat="0" applyProtection="0">
      <alignment vertical="center"/>
    </xf>
    <xf numFmtId="4" fontId="53" fillId="15" borderId="19" applyNumberFormat="0" applyProtection="0">
      <alignment horizontal="left" vertical="center" indent="1"/>
    </xf>
    <xf numFmtId="4" fontId="53" fillId="16" borderId="19" applyNumberFormat="0" applyProtection="0">
      <alignment horizontal="left" vertical="center" indent="1"/>
    </xf>
    <xf numFmtId="4" fontId="54" fillId="12" borderId="19" applyNumberFormat="0" applyProtection="0">
      <alignment horizontal="left" vertical="center" indent="1"/>
    </xf>
    <xf numFmtId="4" fontId="55" fillId="17" borderId="19" applyNumberFormat="0" applyProtection="0">
      <alignment vertical="center"/>
    </xf>
    <xf numFmtId="4" fontId="56" fillId="4" borderId="19" applyNumberFormat="0" applyProtection="0">
      <alignment horizontal="left" vertical="center" indent="1"/>
    </xf>
    <xf numFmtId="4" fontId="57" fillId="16" borderId="19" applyNumberFormat="0" applyProtection="0">
      <alignment horizontal="left" vertical="center" indent="1"/>
    </xf>
    <xf numFmtId="4" fontId="58" fillId="12" borderId="19" applyNumberFormat="0" applyProtection="0">
      <alignment horizontal="left" vertical="center" indent="1"/>
    </xf>
    <xf numFmtId="4" fontId="59" fillId="4" borderId="19" applyNumberFormat="0" applyProtection="0">
      <alignment vertical="center"/>
    </xf>
    <xf numFmtId="4" fontId="60" fillId="4" borderId="19" applyNumberFormat="0" applyProtection="0">
      <alignment vertical="center"/>
    </xf>
    <xf numFmtId="4" fontId="53" fillId="16" borderId="19" applyNumberFormat="0" applyProtection="0">
      <alignment horizontal="left" vertical="center" indent="1"/>
    </xf>
    <xf numFmtId="4" fontId="6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3" fillId="4" borderId="19" applyNumberFormat="0" applyProtection="0">
      <alignment vertical="center"/>
    </xf>
    <xf numFmtId="4" fontId="64" fillId="4" borderId="19" applyNumberFormat="0" applyProtection="0">
      <alignment vertical="center"/>
    </xf>
    <xf numFmtId="4" fontId="53" fillId="18" borderId="19" applyNumberFormat="0" applyProtection="0">
      <alignment horizontal="left" vertical="center" indent="1"/>
    </xf>
    <xf numFmtId="4" fontId="65" fillId="17" borderId="19" applyNumberFormat="0" applyProtection="0">
      <alignment horizontal="left" indent="1"/>
    </xf>
    <xf numFmtId="4" fontId="66" fillId="4" borderId="19" applyNumberFormat="0" applyProtection="0">
      <alignment vertical="center"/>
    </xf>
    <xf numFmtId="38" fontId="27" fillId="0" borderId="20"/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/>
    <xf numFmtId="0" fontId="11" fillId="0" borderId="0"/>
    <xf numFmtId="2" fontId="30" fillId="0" borderId="0">
      <protection locked="0"/>
    </xf>
    <xf numFmtId="2" fontId="30" fillId="0" borderId="0">
      <protection locked="0"/>
    </xf>
    <xf numFmtId="0" fontId="68" fillId="3" borderId="5"/>
    <xf numFmtId="201" fontId="13" fillId="0" borderId="0">
      <protection locked="0"/>
    </xf>
    <xf numFmtId="204" fontId="13" fillId="0" borderId="0">
      <protection locked="0"/>
    </xf>
    <xf numFmtId="0" fontId="27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71" fillId="0" borderId="0">
      <alignment horizontal="left" wrapText="1"/>
    </xf>
    <xf numFmtId="0" fontId="72" fillId="0" borderId="8" applyNumberFormat="0" applyFont="0" applyFill="0" applyBorder="0" applyAlignment="0" applyProtection="0">
      <alignment horizontal="center" wrapText="1"/>
    </xf>
    <xf numFmtId="206" fontId="8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7" fontId="72" fillId="0" borderId="0" applyNumberFormat="0" applyFont="0" applyFill="0" applyBorder="0" applyAlignment="0" applyProtection="0"/>
    <xf numFmtId="0" fontId="23" fillId="0" borderId="8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8" fontId="23" fillId="0" borderId="0">
      <alignment horizontal="right"/>
    </xf>
    <xf numFmtId="0" fontId="73" fillId="0" borderId="0" applyProtection="0"/>
    <xf numFmtId="209" fontId="73" fillId="0" borderId="0" applyProtection="0"/>
    <xf numFmtId="0" fontId="74" fillId="0" borderId="0" applyProtection="0"/>
    <xf numFmtId="0" fontId="75" fillId="0" borderId="0" applyProtection="0"/>
    <xf numFmtId="0" fontId="73" fillId="0" borderId="21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</cellStyleXfs>
  <cellXfs count="78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0" xfId="0" applyFont="1" applyAlignment="1"/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Font="1" applyBorder="1"/>
    <xf numFmtId="164" fontId="1" fillId="0" borderId="6" xfId="0" applyNumberFormat="1" applyFont="1" applyBorder="1" applyAlignment="1" applyProtection="1">
      <alignment horizontal="right"/>
    </xf>
    <xf numFmtId="165" fontId="1" fillId="0" borderId="6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fill"/>
    </xf>
    <xf numFmtId="165" fontId="1" fillId="0" borderId="0" xfId="0" applyNumberFormat="1" applyFont="1" applyAlignment="1" applyProtection="1">
      <alignment horizontal="right"/>
    </xf>
    <xf numFmtId="164" fontId="1" fillId="0" borderId="8" xfId="0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4" fontId="2" fillId="0" borderId="5" xfId="0" applyFont="1" applyBorder="1"/>
    <xf numFmtId="164" fontId="2" fillId="0" borderId="3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4" fontId="3" fillId="0" borderId="0" xfId="0" applyFont="1"/>
    <xf numFmtId="164" fontId="4" fillId="0" borderId="0" xfId="0" applyFont="1"/>
    <xf numFmtId="164" fontId="3" fillId="2" borderId="0" xfId="0" applyFont="1" applyFill="1"/>
    <xf numFmtId="164" fontId="3" fillId="2" borderId="0" xfId="0" applyNumberFormat="1" applyFont="1" applyFill="1"/>
    <xf numFmtId="164" fontId="1" fillId="0" borderId="5" xfId="0" applyNumberFormat="1" applyFont="1" applyFill="1" applyBorder="1" applyAlignment="1" applyProtection="1">
      <alignment horizontal="left"/>
    </xf>
    <xf numFmtId="165" fontId="1" fillId="0" borderId="5" xfId="0" applyNumberFormat="1" applyFont="1" applyFill="1" applyBorder="1" applyAlignment="1" applyProtection="1">
      <alignment horizontal="right"/>
    </xf>
    <xf numFmtId="164" fontId="1" fillId="0" borderId="0" xfId="0" applyFont="1" applyFill="1"/>
    <xf numFmtId="165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79" fontId="76" fillId="0" borderId="0" xfId="556" applyNumberFormat="1" applyFont="1" applyFill="1"/>
    <xf numFmtId="179" fontId="77" fillId="0" borderId="0" xfId="556" applyNumberFormat="1" applyFont="1" applyFill="1"/>
    <xf numFmtId="179" fontId="76" fillId="0" borderId="0" xfId="556" applyNumberFormat="1" applyFont="1" applyFill="1" applyBorder="1"/>
    <xf numFmtId="179" fontId="78" fillId="0" borderId="0" xfId="556" applyNumberFormat="1" applyFont="1"/>
    <xf numFmtId="179" fontId="79" fillId="0" borderId="0" xfId="556" applyNumberFormat="1" applyFont="1"/>
    <xf numFmtId="164" fontId="80" fillId="2" borderId="0" xfId="0" applyNumberFormat="1" applyFont="1" applyFill="1"/>
    <xf numFmtId="164" fontId="1" fillId="2" borderId="0" xfId="0" applyFont="1" applyFill="1"/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</cellXfs>
  <cellStyles count="366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seguido_NFGC_SPE_1995_2003" xfId="255"/>
    <cellStyle name="imf-one decimal" xfId="256"/>
    <cellStyle name="imf-zero decimal" xfId="257"/>
    <cellStyle name="Input [yellow]" xfId="258"/>
    <cellStyle name="jo[" xfId="259"/>
    <cellStyle name="jo[ 10" xfId="260"/>
    <cellStyle name="jo[ 2" xfId="261"/>
    <cellStyle name="jo[ 3" xfId="262"/>
    <cellStyle name="jo[ 4" xfId="263"/>
    <cellStyle name="jo[ 5" xfId="264"/>
    <cellStyle name="jo[ 6" xfId="265"/>
    <cellStyle name="jo[ 7" xfId="266"/>
    <cellStyle name="jo[ 8" xfId="267"/>
    <cellStyle name="jo[ 9" xfId="268"/>
    <cellStyle name="Lien hypertexte 2" xfId="269"/>
    <cellStyle name="MacroCode" xfId="270"/>
    <cellStyle name="Mheading1" xfId="271"/>
    <cellStyle name="Mheading2" xfId="272"/>
    <cellStyle name="Millares [0]_11.1.3. bis" xfId="273"/>
    <cellStyle name="Millares_11.1.3. bis" xfId="274"/>
    <cellStyle name="Milliers 10" xfId="275"/>
    <cellStyle name="Milliers 10 2" xfId="276"/>
    <cellStyle name="Milliers 10 3" xfId="277"/>
    <cellStyle name="Milliers 11" xfId="278"/>
    <cellStyle name="Milliers 11 2" xfId="279"/>
    <cellStyle name="Milliers 11 2 10" xfId="280"/>
    <cellStyle name="Milliers 11 2 11" xfId="281"/>
    <cellStyle name="Milliers 11 2 12" xfId="282"/>
    <cellStyle name="Milliers 11 2 2" xfId="283"/>
    <cellStyle name="Milliers 11 2 3" xfId="284"/>
    <cellStyle name="Milliers 11 2 4" xfId="285"/>
    <cellStyle name="Milliers 11 2 5" xfId="286"/>
    <cellStyle name="Milliers 11 2 6" xfId="287"/>
    <cellStyle name="Milliers 11 2 7" xfId="288"/>
    <cellStyle name="Milliers 11 2 8" xfId="289"/>
    <cellStyle name="Milliers 11 2 9" xfId="290"/>
    <cellStyle name="Milliers 11 3" xfId="291"/>
    <cellStyle name="Milliers 11 3 2" xfId="292"/>
    <cellStyle name="Milliers 11 3 3" xfId="293"/>
    <cellStyle name="Milliers 11 4" xfId="294"/>
    <cellStyle name="Milliers 11 4 2" xfId="295"/>
    <cellStyle name="Milliers 11 4 3" xfId="296"/>
    <cellStyle name="Milliers 12" xfId="297"/>
    <cellStyle name="Milliers 13" xfId="298"/>
    <cellStyle name="Milliers 13 2" xfId="299"/>
    <cellStyle name="Milliers 13 2 2" xfId="300"/>
    <cellStyle name="Milliers 13 2 2 2" xfId="301"/>
    <cellStyle name="Milliers 13 2 2 3" xfId="302"/>
    <cellStyle name="Milliers 13 2 3" xfId="303"/>
    <cellStyle name="Milliers 13 3" xfId="304"/>
    <cellStyle name="Milliers 13 4" xfId="305"/>
    <cellStyle name="Milliers 13 5" xfId="306"/>
    <cellStyle name="Milliers 13 6" xfId="307"/>
    <cellStyle name="Milliers 13 7" xfId="308"/>
    <cellStyle name="Milliers 13 8" xfId="309"/>
    <cellStyle name="Milliers 13 9" xfId="310"/>
    <cellStyle name="Milliers 14" xfId="311"/>
    <cellStyle name="Milliers 15" xfId="312"/>
    <cellStyle name="Milliers 15 2" xfId="313"/>
    <cellStyle name="Milliers 15 2 2" xfId="314"/>
    <cellStyle name="Milliers 15 2 2 2" xfId="315"/>
    <cellStyle name="Milliers 15 2 2 3" xfId="316"/>
    <cellStyle name="Milliers 15 2 3" xfId="317"/>
    <cellStyle name="Milliers 15 3" xfId="318"/>
    <cellStyle name="Milliers 15 4" xfId="319"/>
    <cellStyle name="Milliers 15 5" xfId="320"/>
    <cellStyle name="Milliers 15 6" xfId="321"/>
    <cellStyle name="Milliers 15 7" xfId="322"/>
    <cellStyle name="Milliers 15 8" xfId="323"/>
    <cellStyle name="Milliers 15 9" xfId="324"/>
    <cellStyle name="Milliers 16" xfId="325"/>
    <cellStyle name="Milliers 17" xfId="326"/>
    <cellStyle name="Milliers 17 2" xfId="327"/>
    <cellStyle name="Milliers 17 2 2" xfId="328"/>
    <cellStyle name="Milliers 17 2 2 2" xfId="329"/>
    <cellStyle name="Milliers 17 2 2 3" xfId="330"/>
    <cellStyle name="Milliers 17 2 3" xfId="331"/>
    <cellStyle name="Milliers 17 3" xfId="332"/>
    <cellStyle name="Milliers 17 3 2" xfId="333"/>
    <cellStyle name="Milliers 17 3 3" xfId="334"/>
    <cellStyle name="Milliers 17 4" xfId="335"/>
    <cellStyle name="Milliers 17 4 2" xfId="336"/>
    <cellStyle name="Milliers 17 4 3" xfId="337"/>
    <cellStyle name="Milliers 17 5" xfId="338"/>
    <cellStyle name="Milliers 17 6" xfId="339"/>
    <cellStyle name="Milliers 18" xfId="340"/>
    <cellStyle name="Milliers 19" xfId="341"/>
    <cellStyle name="Milliers 2" xfId="342"/>
    <cellStyle name="Milliers 2 10" xfId="343"/>
    <cellStyle name="Milliers 2 11" xfId="344"/>
    <cellStyle name="Milliers 2 12" xfId="345"/>
    <cellStyle name="Milliers 2 13" xfId="346"/>
    <cellStyle name="Milliers 2 14" xfId="347"/>
    <cellStyle name="Milliers 2 15" xfId="348"/>
    <cellStyle name="Milliers 2 16" xfId="349"/>
    <cellStyle name="Milliers 2 17" xfId="350"/>
    <cellStyle name="Milliers 2 18" xfId="351"/>
    <cellStyle name="Milliers 2 19" xfId="352"/>
    <cellStyle name="Milliers 2 2" xfId="353"/>
    <cellStyle name="Milliers 2 2 2" xfId="354"/>
    <cellStyle name="Milliers 2 2 2 2" xfId="355"/>
    <cellStyle name="Milliers 2 2 2 3" xfId="356"/>
    <cellStyle name="Milliers 2 2 2_ACT BNDE NR" xfId="357"/>
    <cellStyle name="Milliers 2 2 3" xfId="358"/>
    <cellStyle name="Milliers 2 2 4" xfId="359"/>
    <cellStyle name="Milliers 2 2_ACT BNDE NR" xfId="360"/>
    <cellStyle name="Milliers 2 20" xfId="361"/>
    <cellStyle name="Milliers 2 21" xfId="362"/>
    <cellStyle name="Milliers 2 3" xfId="363"/>
    <cellStyle name="Milliers 2 3 2" xfId="364"/>
    <cellStyle name="Milliers 2 3_ACT FPHU NR" xfId="365"/>
    <cellStyle name="Milliers 2 4" xfId="366"/>
    <cellStyle name="Milliers 2 4 2" xfId="367"/>
    <cellStyle name="Milliers 2 4_ACT FPHU NR" xfId="368"/>
    <cellStyle name="Milliers 2 5" xfId="369"/>
    <cellStyle name="Milliers 2 5 2" xfId="370"/>
    <cellStyle name="Milliers 2 5_ACT FPHU NR" xfId="371"/>
    <cellStyle name="Milliers 2 6" xfId="372"/>
    <cellStyle name="Milliers 2 7" xfId="373"/>
    <cellStyle name="Milliers 2 8" xfId="374"/>
    <cellStyle name="Milliers 2 9" xfId="375"/>
    <cellStyle name="Milliers 2_ACT BNDE NR" xfId="376"/>
    <cellStyle name="Milliers 20" xfId="377"/>
    <cellStyle name="Milliers 20 2" xfId="378"/>
    <cellStyle name="Milliers 20 2 2" xfId="379"/>
    <cellStyle name="Milliers 20 2 3" xfId="380"/>
    <cellStyle name="Milliers 20 3" xfId="381"/>
    <cellStyle name="Milliers 21" xfId="382"/>
    <cellStyle name="Milliers 21 2" xfId="383"/>
    <cellStyle name="Milliers 21 2 2" xfId="384"/>
    <cellStyle name="Milliers 21 2 3" xfId="385"/>
    <cellStyle name="Milliers 21 3" xfId="386"/>
    <cellStyle name="Milliers 22" xfId="387"/>
    <cellStyle name="Milliers 22 2" xfId="388"/>
    <cellStyle name="Milliers 22 2 2" xfId="389"/>
    <cellStyle name="Milliers 22 2 3" xfId="390"/>
    <cellStyle name="Milliers 22 3" xfId="391"/>
    <cellStyle name="Milliers 23" xfId="392"/>
    <cellStyle name="Milliers 24" xfId="393"/>
    <cellStyle name="Milliers 24 2" xfId="394"/>
    <cellStyle name="Milliers 25" xfId="395"/>
    <cellStyle name="Milliers 26" xfId="396"/>
    <cellStyle name="Milliers 27" xfId="397"/>
    <cellStyle name="Milliers 28" xfId="398"/>
    <cellStyle name="Milliers 29" xfId="399"/>
    <cellStyle name="Milliers 3" xfId="400"/>
    <cellStyle name="Milliers 3 10" xfId="401"/>
    <cellStyle name="Milliers 3 11" xfId="402"/>
    <cellStyle name="Milliers 3 12" xfId="403"/>
    <cellStyle name="Milliers 3 13" xfId="404"/>
    <cellStyle name="Milliers 3 2" xfId="405"/>
    <cellStyle name="Milliers 3 2 2" xfId="406"/>
    <cellStyle name="Milliers 3 2 2 2" xfId="407"/>
    <cellStyle name="Milliers 3 2 2 3" xfId="408"/>
    <cellStyle name="Milliers 3 2 2 4" xfId="409"/>
    <cellStyle name="Milliers 3 2 2_ACT BNDE NR" xfId="410"/>
    <cellStyle name="Milliers 3 2 3" xfId="411"/>
    <cellStyle name="Milliers 3 2 3 2" xfId="412"/>
    <cellStyle name="Milliers 3 2 3_ACT FPHU NR" xfId="413"/>
    <cellStyle name="Milliers 3 2 4" xfId="414"/>
    <cellStyle name="Milliers 3 2 5" xfId="415"/>
    <cellStyle name="Milliers 3 2_ACT BNDE NR" xfId="416"/>
    <cellStyle name="Milliers 3 3" xfId="417"/>
    <cellStyle name="Milliers 3 3 2" xfId="418"/>
    <cellStyle name="Milliers 3 3 3" xfId="419"/>
    <cellStyle name="Milliers 3 3 4" xfId="420"/>
    <cellStyle name="Milliers 3 3 5" xfId="421"/>
    <cellStyle name="Milliers 3 3_ACT BNDE NR" xfId="422"/>
    <cellStyle name="Milliers 3 4" xfId="423"/>
    <cellStyle name="Milliers 3 4 2" xfId="424"/>
    <cellStyle name="Milliers 3 4_ACT BNDE NR" xfId="425"/>
    <cellStyle name="Milliers 3 5" xfId="426"/>
    <cellStyle name="Milliers 3 5 2" xfId="427"/>
    <cellStyle name="Milliers 3 5_ACT FPHU NR" xfId="428"/>
    <cellStyle name="Milliers 3 6" xfId="429"/>
    <cellStyle name="Milliers 3 6 2" xfId="430"/>
    <cellStyle name="Milliers 3 6_ACT FPHU NR" xfId="431"/>
    <cellStyle name="Milliers 3 7" xfId="432"/>
    <cellStyle name="Milliers 3 7 2" xfId="433"/>
    <cellStyle name="Milliers 3 7_ACT FPHU NR" xfId="434"/>
    <cellStyle name="Milliers 3 8" xfId="435"/>
    <cellStyle name="Milliers 3 9" xfId="436"/>
    <cellStyle name="Milliers 3_ACT BNDE NR" xfId="437"/>
    <cellStyle name="Milliers 30" xfId="438"/>
    <cellStyle name="Milliers 31" xfId="439"/>
    <cellStyle name="Milliers 32" xfId="440"/>
    <cellStyle name="Milliers 32 2" xfId="441"/>
    <cellStyle name="Milliers 33" xfId="442"/>
    <cellStyle name="Milliers 33 2" xfId="443"/>
    <cellStyle name="Milliers 33 3" xfId="444"/>
    <cellStyle name="Milliers 34" xfId="445"/>
    <cellStyle name="Milliers 35" xfId="446"/>
    <cellStyle name="Milliers 35 2" xfId="447"/>
    <cellStyle name="Milliers 36" xfId="448"/>
    <cellStyle name="Milliers 36 2" xfId="449"/>
    <cellStyle name="Milliers 36 3" xfId="450"/>
    <cellStyle name="Milliers 37" xfId="451"/>
    <cellStyle name="Milliers 37 2" xfId="452"/>
    <cellStyle name="Milliers 38" xfId="453"/>
    <cellStyle name="Milliers 39" xfId="454"/>
    <cellStyle name="Milliers 4" xfId="455"/>
    <cellStyle name="Milliers 4 10" xfId="456"/>
    <cellStyle name="Milliers 4 11" xfId="457"/>
    <cellStyle name="Milliers 4 12" xfId="458"/>
    <cellStyle name="Milliers 4 13" xfId="459"/>
    <cellStyle name="Milliers 4 14" xfId="460"/>
    <cellStyle name="Milliers 4 2" xfId="461"/>
    <cellStyle name="Milliers 4 2 2" xfId="462"/>
    <cellStyle name="Milliers 4 2 2 2" xfId="463"/>
    <cellStyle name="Milliers 4 2 2_ACT BNDE NR" xfId="464"/>
    <cellStyle name="Milliers 4 2 3" xfId="465"/>
    <cellStyle name="Milliers 4 2 4" xfId="466"/>
    <cellStyle name="Milliers 4 2 5" xfId="467"/>
    <cellStyle name="Milliers 4 2_ACT BNDE NR" xfId="468"/>
    <cellStyle name="Milliers 4 3" xfId="469"/>
    <cellStyle name="Milliers 4 3 2" xfId="470"/>
    <cellStyle name="Milliers 4 3 3" xfId="471"/>
    <cellStyle name="Milliers 4 3 4" xfId="472"/>
    <cellStyle name="Milliers 4 3 5" xfId="473"/>
    <cellStyle name="Milliers 4 3_ACT BNDE NR" xfId="474"/>
    <cellStyle name="Milliers 4 4" xfId="475"/>
    <cellStyle name="Milliers 4 4 2" xfId="476"/>
    <cellStyle name="Milliers 4 4_ACT BNDE NR" xfId="477"/>
    <cellStyle name="Milliers 4 5" xfId="478"/>
    <cellStyle name="Milliers 4 5 2" xfId="479"/>
    <cellStyle name="Milliers 4 5_ACT FPHU NR" xfId="480"/>
    <cellStyle name="Milliers 4 6" xfId="481"/>
    <cellStyle name="Milliers 4 6 2" xfId="482"/>
    <cellStyle name="Milliers 4 6_ACT FPHU NR" xfId="483"/>
    <cellStyle name="Milliers 4 7" xfId="484"/>
    <cellStyle name="Milliers 4 7 2" xfId="485"/>
    <cellStyle name="Milliers 4 7_ACT FPHU NR" xfId="486"/>
    <cellStyle name="Milliers 4 8" xfId="487"/>
    <cellStyle name="Milliers 4 9" xfId="488"/>
    <cellStyle name="Milliers 40" xfId="489"/>
    <cellStyle name="Milliers 40 2" xfId="490"/>
    <cellStyle name="Milliers 41" xfId="491"/>
    <cellStyle name="Milliers 41 2" xfId="492"/>
    <cellStyle name="Milliers 42" xfId="493"/>
    <cellStyle name="Milliers 42 2" xfId="494"/>
    <cellStyle name="Milliers 43" xfId="495"/>
    <cellStyle name="Milliers 43 2" xfId="496"/>
    <cellStyle name="Milliers 44" xfId="497"/>
    <cellStyle name="Milliers 44 2" xfId="498"/>
    <cellStyle name="Milliers 45" xfId="499"/>
    <cellStyle name="Milliers 46" xfId="500"/>
    <cellStyle name="Milliers 46 2" xfId="501"/>
    <cellStyle name="Milliers 47" xfId="502"/>
    <cellStyle name="Milliers 47 2" xfId="503"/>
    <cellStyle name="Milliers 48" xfId="504"/>
    <cellStyle name="Milliers 49" xfId="505"/>
    <cellStyle name="Milliers 49 2" xfId="506"/>
    <cellStyle name="Milliers 5" xfId="507"/>
    <cellStyle name="Milliers 5 2" xfId="508"/>
    <cellStyle name="Milliers 5 2 2" xfId="509"/>
    <cellStyle name="Milliers 5 2_ACT BNDE NR" xfId="510"/>
    <cellStyle name="Milliers 5 3" xfId="511"/>
    <cellStyle name="Milliers 5 4" xfId="512"/>
    <cellStyle name="Milliers 5 5" xfId="513"/>
    <cellStyle name="Milliers 5_ACT BNDE NR" xfId="514"/>
    <cellStyle name="Milliers 50" xfId="515"/>
    <cellStyle name="Milliers 50 2" xfId="516"/>
    <cellStyle name="Milliers 51" xfId="517"/>
    <cellStyle name="Milliers 51 2" xfId="518"/>
    <cellStyle name="Milliers 51 3" xfId="519"/>
    <cellStyle name="Milliers 52" xfId="520"/>
    <cellStyle name="Milliers 52 2" xfId="521"/>
    <cellStyle name="Milliers 52 3" xfId="522"/>
    <cellStyle name="Milliers 53" xfId="523"/>
    <cellStyle name="Milliers 6" xfId="524"/>
    <cellStyle name="Milliers 6 2" xfId="525"/>
    <cellStyle name="Milliers 6 2 2" xfId="526"/>
    <cellStyle name="Milliers 6 3" xfId="527"/>
    <cellStyle name="Milliers 6 3 2" xfId="528"/>
    <cellStyle name="Milliers 6 4" xfId="529"/>
    <cellStyle name="Milliers 6 5" xfId="530"/>
    <cellStyle name="Milliers 6_ACT BNDE NR" xfId="531"/>
    <cellStyle name="Milliers 7" xfId="532"/>
    <cellStyle name="Milliers 7 2" xfId="533"/>
    <cellStyle name="Milliers 7 3" xfId="534"/>
    <cellStyle name="Milliers 7 4" xfId="535"/>
    <cellStyle name="Milliers 7 5" xfId="536"/>
    <cellStyle name="Milliers 7_ACT BNDE NR" xfId="537"/>
    <cellStyle name="Milliers 8" xfId="538"/>
    <cellStyle name="Milliers 8 2" xfId="539"/>
    <cellStyle name="Milliers 8_ACT FPHU NR" xfId="540"/>
    <cellStyle name="Milliers 9" xfId="541"/>
    <cellStyle name="Moeda [0]_A" xfId="542"/>
    <cellStyle name="Moeda_A" xfId="543"/>
    <cellStyle name="Moeda0" xfId="544"/>
    <cellStyle name="Moneda [0]_11.1.3. bis" xfId="545"/>
    <cellStyle name="Moneda_11.1.3. bis" xfId="546"/>
    <cellStyle name="Monétaire 2" xfId="547"/>
    <cellStyle name="Monétaire 2 2" xfId="548"/>
    <cellStyle name="Monétaire 2 3" xfId="549"/>
    <cellStyle name="Monétaire 2_ACT FPHU NR" xfId="550"/>
    <cellStyle name="Monétaire 3" xfId="551"/>
    <cellStyle name="Monétaire 4" xfId="552"/>
    <cellStyle name="Monetario" xfId="553"/>
    <cellStyle name="Monetario0" xfId="554"/>
    <cellStyle name="Non défini" xfId="555"/>
    <cellStyle name="Normal" xfId="0" builtinId="0"/>
    <cellStyle name="Normal - Style1" xfId="557"/>
    <cellStyle name="Normal - Style1 2" xfId="558"/>
    <cellStyle name="Normal - Style2" xfId="559"/>
    <cellStyle name="Normal - Style2 2" xfId="560"/>
    <cellStyle name="Normal - Style3" xfId="561"/>
    <cellStyle name="Normal - Style4" xfId="562"/>
    <cellStyle name="Normal 10" xfId="563"/>
    <cellStyle name="Normal 10 10" xfId="564"/>
    <cellStyle name="Normal 10 11" xfId="565"/>
    <cellStyle name="Normal 10 12" xfId="566"/>
    <cellStyle name="Normal 10 13" xfId="567"/>
    <cellStyle name="Normal 10 14" xfId="568"/>
    <cellStyle name="Normal 10 15" xfId="569"/>
    <cellStyle name="Normal 10 16" xfId="570"/>
    <cellStyle name="Normal 10 17" xfId="571"/>
    <cellStyle name="Normal 10 18" xfId="572"/>
    <cellStyle name="Normal 10 19" xfId="573"/>
    <cellStyle name="Normal 10 2" xfId="574"/>
    <cellStyle name="Normal 10 20" xfId="575"/>
    <cellStyle name="Normal 10 21" xfId="576"/>
    <cellStyle name="Normal 10 22" xfId="577"/>
    <cellStyle name="Normal 10 23" xfId="578"/>
    <cellStyle name="Normal 10 24" xfId="579"/>
    <cellStyle name="Normal 10 25" xfId="580"/>
    <cellStyle name="Normal 10 26" xfId="581"/>
    <cellStyle name="Normal 10 27" xfId="582"/>
    <cellStyle name="Normal 10 28" xfId="583"/>
    <cellStyle name="Normal 10 29" xfId="584"/>
    <cellStyle name="Normal 10 3" xfId="585"/>
    <cellStyle name="Normal 10 30" xfId="586"/>
    <cellStyle name="Normal 10 31" xfId="587"/>
    <cellStyle name="Normal 10 32" xfId="588"/>
    <cellStyle name="Normal 10 33" xfId="589"/>
    <cellStyle name="Normal 10 34" xfId="590"/>
    <cellStyle name="Normal 10 35" xfId="591"/>
    <cellStyle name="Normal 10 36" xfId="592"/>
    <cellStyle name="Normal 10 37" xfId="593"/>
    <cellStyle name="Normal 10 38" xfId="594"/>
    <cellStyle name="Normal 10 39" xfId="595"/>
    <cellStyle name="Normal 10 4" xfId="596"/>
    <cellStyle name="Normal 10 40" xfId="597"/>
    <cellStyle name="Normal 10 41" xfId="598"/>
    <cellStyle name="Normal 10 42" xfId="599"/>
    <cellStyle name="Normal 10 43" xfId="600"/>
    <cellStyle name="Normal 10 44" xfId="601"/>
    <cellStyle name="Normal 10 45" xfId="602"/>
    <cellStyle name="Normal 10 46" xfId="603"/>
    <cellStyle name="Normal 10 47" xfId="604"/>
    <cellStyle name="Normal 10 48" xfId="605"/>
    <cellStyle name="Normal 10 49" xfId="606"/>
    <cellStyle name="Normal 10 5" xfId="607"/>
    <cellStyle name="Normal 10 50" xfId="608"/>
    <cellStyle name="Normal 10 51" xfId="609"/>
    <cellStyle name="Normal 10 52" xfId="610"/>
    <cellStyle name="Normal 10 53" xfId="611"/>
    <cellStyle name="Normal 10 54" xfId="612"/>
    <cellStyle name="Normal 10 55" xfId="613"/>
    <cellStyle name="Normal 10 56" xfId="614"/>
    <cellStyle name="Normal 10 57" xfId="615"/>
    <cellStyle name="Normal 10 58" xfId="616"/>
    <cellStyle name="Normal 10 59" xfId="617"/>
    <cellStyle name="Normal 10 6" xfId="618"/>
    <cellStyle name="Normal 10 60" xfId="619"/>
    <cellStyle name="Normal 10 61" xfId="620"/>
    <cellStyle name="Normal 10 62" xfId="621"/>
    <cellStyle name="Normal 10 63" xfId="622"/>
    <cellStyle name="Normal 10 64" xfId="623"/>
    <cellStyle name="Normal 10 65" xfId="624"/>
    <cellStyle name="Normal 10 7" xfId="625"/>
    <cellStyle name="Normal 10 8" xfId="626"/>
    <cellStyle name="Normal 10 9" xfId="627"/>
    <cellStyle name="Normal 100" xfId="628"/>
    <cellStyle name="Normal 101" xfId="629"/>
    <cellStyle name="Normal 102" xfId="630"/>
    <cellStyle name="Normal 103" xfId="631"/>
    <cellStyle name="Normal 104" xfId="632"/>
    <cellStyle name="Normal 105" xfId="633"/>
    <cellStyle name="Normal 106" xfId="634"/>
    <cellStyle name="Normal 107" xfId="635"/>
    <cellStyle name="Normal 108" xfId="636"/>
    <cellStyle name="Normal 109" xfId="637"/>
    <cellStyle name="Normal 109 2" xfId="638"/>
    <cellStyle name="Normal 11" xfId="639"/>
    <cellStyle name="Normal 11 2" xfId="640"/>
    <cellStyle name="Normal 110" xfId="641"/>
    <cellStyle name="Normal 111" xfId="642"/>
    <cellStyle name="Normal 111 2" xfId="643"/>
    <cellStyle name="Normal 112" xfId="644"/>
    <cellStyle name="Normal 113" xfId="645"/>
    <cellStyle name="Normal 114" xfId="646"/>
    <cellStyle name="Normal 114 10" xfId="647"/>
    <cellStyle name="Normal 114 10 2" xfId="648"/>
    <cellStyle name="Normal 114 10 3" xfId="649"/>
    <cellStyle name="Normal 114 11" xfId="650"/>
    <cellStyle name="Normal 114 11 2" xfId="651"/>
    <cellStyle name="Normal 114 12" xfId="652"/>
    <cellStyle name="Normal 114 13" xfId="653"/>
    <cellStyle name="Normal 114 2" xfId="654"/>
    <cellStyle name="Normal 114 2 10" xfId="655"/>
    <cellStyle name="Normal 114 2 10 2" xfId="656"/>
    <cellStyle name="Normal 114 2 11" xfId="657"/>
    <cellStyle name="Normal 114 2 12" xfId="658"/>
    <cellStyle name="Normal 114 2 2" xfId="659"/>
    <cellStyle name="Normal 114 2 2 10" xfId="660"/>
    <cellStyle name="Normal 114 2 2 2" xfId="661"/>
    <cellStyle name="Normal 114 2 2 2 2" xfId="662"/>
    <cellStyle name="Normal 114 2 2 2 2 2" xfId="663"/>
    <cellStyle name="Normal 114 2 2 2 2 3" xfId="664"/>
    <cellStyle name="Normal 114 2 2 2 2 4" xfId="665"/>
    <cellStyle name="Normal 114 2 2 2 2 5" xfId="666"/>
    <cellStyle name="Normal 114 2 2 2 3" xfId="667"/>
    <cellStyle name="Normal 114 2 2 2 3 2" xfId="668"/>
    <cellStyle name="Normal 114 2 2 2 3 3" xfId="669"/>
    <cellStyle name="Normal 114 2 2 2 3 4" xfId="670"/>
    <cellStyle name="Normal 114 2 2 2 4" xfId="671"/>
    <cellStyle name="Normal 114 2 2 2 4 2" xfId="672"/>
    <cellStyle name="Normal 114 2 2 2 4 3" xfId="673"/>
    <cellStyle name="Normal 114 2 2 2 4 4" xfId="674"/>
    <cellStyle name="Normal 114 2 2 2 5" xfId="675"/>
    <cellStyle name="Normal 114 2 2 2 5 2" xfId="676"/>
    <cellStyle name="Normal 114 2 2 2 5 3" xfId="677"/>
    <cellStyle name="Normal 114 2 2 2 5 4" xfId="678"/>
    <cellStyle name="Normal 114 2 2 2 6" xfId="679"/>
    <cellStyle name="Normal 114 2 2 2 6 2" xfId="680"/>
    <cellStyle name="Normal 114 2 2 2 6 3" xfId="681"/>
    <cellStyle name="Normal 114 2 2 2 7" xfId="682"/>
    <cellStyle name="Normal 114 2 2 2 7 2" xfId="683"/>
    <cellStyle name="Normal 114 2 2 2 8" xfId="684"/>
    <cellStyle name="Normal 114 2 2 3" xfId="685"/>
    <cellStyle name="Normal 114 2 2 3 2" xfId="686"/>
    <cellStyle name="Normal 114 2 2 3 2 2" xfId="687"/>
    <cellStyle name="Normal 114 2 2 3 2 3" xfId="688"/>
    <cellStyle name="Normal 114 2 2 3 2 4" xfId="689"/>
    <cellStyle name="Normal 114 2 2 3 3" xfId="690"/>
    <cellStyle name="Normal 114 2 2 3 3 2" xfId="691"/>
    <cellStyle name="Normal 114 2 2 3 3 3" xfId="692"/>
    <cellStyle name="Normal 114 2 2 3 3 4" xfId="693"/>
    <cellStyle name="Normal 114 2 2 3 4" xfId="694"/>
    <cellStyle name="Normal 114 2 2 3 4 2" xfId="695"/>
    <cellStyle name="Normal 114 2 2 3 4 3" xfId="696"/>
    <cellStyle name="Normal 114 2 2 3 4 4" xfId="697"/>
    <cellStyle name="Normal 114 2 2 3 5" xfId="698"/>
    <cellStyle name="Normal 114 2 2 3 5 2" xfId="699"/>
    <cellStyle name="Normal 114 2 2 3 5 3" xfId="700"/>
    <cellStyle name="Normal 114 2 2 3 6" xfId="701"/>
    <cellStyle name="Normal 114 2 2 3 6 2" xfId="702"/>
    <cellStyle name="Normal 114 2 2 3 7" xfId="703"/>
    <cellStyle name="Normal 114 2 2 4" xfId="704"/>
    <cellStyle name="Normal 114 2 2 4 2" xfId="705"/>
    <cellStyle name="Normal 114 2 2 4 2 2" xfId="706"/>
    <cellStyle name="Normal 114 2 2 4 2 3" xfId="707"/>
    <cellStyle name="Normal 114 2 2 4 3" xfId="708"/>
    <cellStyle name="Normal 114 2 2 4 3 2" xfId="709"/>
    <cellStyle name="Normal 114 2 2 4 4" xfId="710"/>
    <cellStyle name="Normal 114 2 2 5" xfId="711"/>
    <cellStyle name="Normal 114 2 2 5 2" xfId="712"/>
    <cellStyle name="Normal 114 2 2 5 2 2" xfId="713"/>
    <cellStyle name="Normal 114 2 2 5 3" xfId="714"/>
    <cellStyle name="Normal 114 2 2 5 4" xfId="715"/>
    <cellStyle name="Normal 114 2 2 6" xfId="716"/>
    <cellStyle name="Normal 114 2 2 6 2" xfId="717"/>
    <cellStyle name="Normal 114 2 2 6 3" xfId="718"/>
    <cellStyle name="Normal 114 2 2 6 4" xfId="719"/>
    <cellStyle name="Normal 114 2 2 7" xfId="720"/>
    <cellStyle name="Normal 114 2 2 7 2" xfId="721"/>
    <cellStyle name="Normal 114 2 2 7 3" xfId="722"/>
    <cellStyle name="Normal 114 2 2 8" xfId="723"/>
    <cellStyle name="Normal 114 2 2 8 2" xfId="724"/>
    <cellStyle name="Normal 114 2 2 9" xfId="725"/>
    <cellStyle name="Normal 114 2 3" xfId="726"/>
    <cellStyle name="Normal 114 2 3 2" xfId="727"/>
    <cellStyle name="Normal 114 2 3 2 2" xfId="728"/>
    <cellStyle name="Normal 114 2 3 2 3" xfId="729"/>
    <cellStyle name="Normal 114 2 3 2 4" xfId="730"/>
    <cellStyle name="Normal 114 2 3 2 5" xfId="731"/>
    <cellStyle name="Normal 114 2 3 3" xfId="732"/>
    <cellStyle name="Normal 114 2 3 3 2" xfId="733"/>
    <cellStyle name="Normal 114 2 3 3 3" xfId="734"/>
    <cellStyle name="Normal 114 2 3 3 4" xfId="735"/>
    <cellStyle name="Normal 114 2 3 4" xfId="736"/>
    <cellStyle name="Normal 114 2 3 4 2" xfId="737"/>
    <cellStyle name="Normal 114 2 3 4 3" xfId="738"/>
    <cellStyle name="Normal 114 2 3 4 4" xfId="739"/>
    <cellStyle name="Normal 114 2 3 5" xfId="740"/>
    <cellStyle name="Normal 114 2 3 5 2" xfId="741"/>
    <cellStyle name="Normal 114 2 3 5 3" xfId="742"/>
    <cellStyle name="Normal 114 2 3 5 4" xfId="743"/>
    <cellStyle name="Normal 114 2 3 6" xfId="744"/>
    <cellStyle name="Normal 114 2 3 6 2" xfId="745"/>
    <cellStyle name="Normal 114 2 3 6 3" xfId="746"/>
    <cellStyle name="Normal 114 2 3 6 4" xfId="747"/>
    <cellStyle name="Normal 114 2 3 7" xfId="748"/>
    <cellStyle name="Normal 114 2 3 7 2" xfId="749"/>
    <cellStyle name="Normal 114 2 3 7 3" xfId="750"/>
    <cellStyle name="Normal 114 2 3 8" xfId="751"/>
    <cellStyle name="Normal 114 2 3 8 2" xfId="752"/>
    <cellStyle name="Normal 114 2 3 9" xfId="753"/>
    <cellStyle name="Normal 114 2 4" xfId="754"/>
    <cellStyle name="Normal 114 2 4 2" xfId="755"/>
    <cellStyle name="Normal 114 2 4 2 2" xfId="756"/>
    <cellStyle name="Normal 114 2 4 2 3" xfId="757"/>
    <cellStyle name="Normal 114 2 4 2 4" xfId="758"/>
    <cellStyle name="Normal 114 2 4 2 5" xfId="759"/>
    <cellStyle name="Normal 114 2 4 3" xfId="760"/>
    <cellStyle name="Normal 114 2 4 3 2" xfId="761"/>
    <cellStyle name="Normal 114 2 4 3 3" xfId="762"/>
    <cellStyle name="Normal 114 2 4 3 4" xfId="763"/>
    <cellStyle name="Normal 114 2 4 4" xfId="764"/>
    <cellStyle name="Normal 114 2 4 4 2" xfId="765"/>
    <cellStyle name="Normal 114 2 4 4 3" xfId="766"/>
    <cellStyle name="Normal 114 2 4 4 4" xfId="767"/>
    <cellStyle name="Normal 114 2 4 5" xfId="768"/>
    <cellStyle name="Normal 114 2 4 5 2" xfId="769"/>
    <cellStyle name="Normal 114 2 4 5 3" xfId="770"/>
    <cellStyle name="Normal 114 2 4 6" xfId="771"/>
    <cellStyle name="Normal 114 2 4 6 2" xfId="772"/>
    <cellStyle name="Normal 114 2 4 7" xfId="773"/>
    <cellStyle name="Normal 114 2 5" xfId="774"/>
    <cellStyle name="Normal 114 2 5 2" xfId="775"/>
    <cellStyle name="Normal 114 2 5 2 2" xfId="776"/>
    <cellStyle name="Normal 114 2 5 2 3" xfId="777"/>
    <cellStyle name="Normal 114 2 5 3" xfId="778"/>
    <cellStyle name="Normal 114 2 5 3 2" xfId="779"/>
    <cellStyle name="Normal 114 2 5 4" xfId="780"/>
    <cellStyle name="Normal 114 2 5 5" xfId="781"/>
    <cellStyle name="Normal 114 2 6" xfId="782"/>
    <cellStyle name="Normal 114 2 6 2" xfId="783"/>
    <cellStyle name="Normal 114 2 6 2 2" xfId="784"/>
    <cellStyle name="Normal 114 2 6 3" xfId="785"/>
    <cellStyle name="Normal 114 2 6 4" xfId="786"/>
    <cellStyle name="Normal 114 2 7" xfId="787"/>
    <cellStyle name="Normal 114 2 7 2" xfId="788"/>
    <cellStyle name="Normal 114 2 7 3" xfId="789"/>
    <cellStyle name="Normal 114 2 7 4" xfId="790"/>
    <cellStyle name="Normal 114 2 8" xfId="791"/>
    <cellStyle name="Normal 114 2 8 2" xfId="792"/>
    <cellStyle name="Normal 114 2 8 3" xfId="793"/>
    <cellStyle name="Normal 114 2 8 4" xfId="794"/>
    <cellStyle name="Normal 114 2 9" xfId="795"/>
    <cellStyle name="Normal 114 2 9 2" xfId="796"/>
    <cellStyle name="Normal 114 2 9 3" xfId="797"/>
    <cellStyle name="Normal 114 3" xfId="798"/>
    <cellStyle name="Normal 114 3 10" xfId="799"/>
    <cellStyle name="Normal 114 3 2" xfId="800"/>
    <cellStyle name="Normal 114 3 2 2" xfId="801"/>
    <cellStyle name="Normal 114 3 2 2 2" xfId="802"/>
    <cellStyle name="Normal 114 3 2 2 3" xfId="803"/>
    <cellStyle name="Normal 114 3 2 2 4" xfId="804"/>
    <cellStyle name="Normal 114 3 2 2 5" xfId="805"/>
    <cellStyle name="Normal 114 3 2 3" xfId="806"/>
    <cellStyle name="Normal 114 3 2 3 2" xfId="807"/>
    <cellStyle name="Normal 114 3 2 3 3" xfId="808"/>
    <cellStyle name="Normal 114 3 2 3 4" xfId="809"/>
    <cellStyle name="Normal 114 3 2 4" xfId="810"/>
    <cellStyle name="Normal 114 3 2 4 2" xfId="811"/>
    <cellStyle name="Normal 114 3 2 4 3" xfId="812"/>
    <cellStyle name="Normal 114 3 2 4 4" xfId="813"/>
    <cellStyle name="Normal 114 3 2 5" xfId="814"/>
    <cellStyle name="Normal 114 3 2 5 2" xfId="815"/>
    <cellStyle name="Normal 114 3 2 5 3" xfId="816"/>
    <cellStyle name="Normal 114 3 2 5 4" xfId="817"/>
    <cellStyle name="Normal 114 3 2 6" xfId="818"/>
    <cellStyle name="Normal 114 3 2 6 2" xfId="819"/>
    <cellStyle name="Normal 114 3 2 6 3" xfId="820"/>
    <cellStyle name="Normal 114 3 2 7" xfId="821"/>
    <cellStyle name="Normal 114 3 2 7 2" xfId="822"/>
    <cellStyle name="Normal 114 3 2 8" xfId="823"/>
    <cellStyle name="Normal 114 3 3" xfId="824"/>
    <cellStyle name="Normal 114 3 3 2" xfId="825"/>
    <cellStyle name="Normal 114 3 3 2 2" xfId="826"/>
    <cellStyle name="Normal 114 3 3 2 3" xfId="827"/>
    <cellStyle name="Normal 114 3 3 2 4" xfId="828"/>
    <cellStyle name="Normal 114 3 3 3" xfId="829"/>
    <cellStyle name="Normal 114 3 3 3 2" xfId="830"/>
    <cellStyle name="Normal 114 3 3 3 3" xfId="831"/>
    <cellStyle name="Normal 114 3 3 3 4" xfId="832"/>
    <cellStyle name="Normal 114 3 3 4" xfId="833"/>
    <cellStyle name="Normal 114 3 3 4 2" xfId="834"/>
    <cellStyle name="Normal 114 3 3 4 3" xfId="835"/>
    <cellStyle name="Normal 114 3 3 4 4" xfId="836"/>
    <cellStyle name="Normal 114 3 3 5" xfId="837"/>
    <cellStyle name="Normal 114 3 3 5 2" xfId="838"/>
    <cellStyle name="Normal 114 3 3 5 3" xfId="839"/>
    <cellStyle name="Normal 114 3 3 6" xfId="840"/>
    <cellStyle name="Normal 114 3 3 6 2" xfId="841"/>
    <cellStyle name="Normal 114 3 3 7" xfId="842"/>
    <cellStyle name="Normal 114 3 4" xfId="843"/>
    <cellStyle name="Normal 114 3 4 2" xfId="844"/>
    <cellStyle name="Normal 114 3 4 2 2" xfId="845"/>
    <cellStyle name="Normal 114 3 4 2 3" xfId="846"/>
    <cellStyle name="Normal 114 3 4 3" xfId="847"/>
    <cellStyle name="Normal 114 3 4 3 2" xfId="848"/>
    <cellStyle name="Normal 114 3 4 4" xfId="849"/>
    <cellStyle name="Normal 114 3 5" xfId="850"/>
    <cellStyle name="Normal 114 3 5 2" xfId="851"/>
    <cellStyle name="Normal 114 3 5 2 2" xfId="852"/>
    <cellStyle name="Normal 114 3 5 3" xfId="853"/>
    <cellStyle name="Normal 114 3 5 4" xfId="854"/>
    <cellStyle name="Normal 114 3 6" xfId="855"/>
    <cellStyle name="Normal 114 3 6 2" xfId="856"/>
    <cellStyle name="Normal 114 3 6 3" xfId="857"/>
    <cellStyle name="Normal 114 3 6 4" xfId="858"/>
    <cellStyle name="Normal 114 3 7" xfId="859"/>
    <cellStyle name="Normal 114 3 7 2" xfId="860"/>
    <cellStyle name="Normal 114 3 7 3" xfId="861"/>
    <cellStyle name="Normal 114 3 8" xfId="862"/>
    <cellStyle name="Normal 114 3 8 2" xfId="863"/>
    <cellStyle name="Normal 114 3 9" xfId="864"/>
    <cellStyle name="Normal 114 4" xfId="865"/>
    <cellStyle name="Normal 114 4 2" xfId="866"/>
    <cellStyle name="Normal 114 4 2 2" xfId="867"/>
    <cellStyle name="Normal 114 4 2 3" xfId="868"/>
    <cellStyle name="Normal 114 4 2 4" xfId="869"/>
    <cellStyle name="Normal 114 4 2 5" xfId="870"/>
    <cellStyle name="Normal 114 4 3" xfId="871"/>
    <cellStyle name="Normal 114 4 3 2" xfId="872"/>
    <cellStyle name="Normal 114 4 3 3" xfId="873"/>
    <cellStyle name="Normal 114 4 3 4" xfId="874"/>
    <cellStyle name="Normal 114 4 4" xfId="875"/>
    <cellStyle name="Normal 114 4 4 2" xfId="876"/>
    <cellStyle name="Normal 114 4 4 3" xfId="877"/>
    <cellStyle name="Normal 114 4 4 4" xfId="878"/>
    <cellStyle name="Normal 114 4 5" xfId="879"/>
    <cellStyle name="Normal 114 4 5 2" xfId="880"/>
    <cellStyle name="Normal 114 4 5 3" xfId="881"/>
    <cellStyle name="Normal 114 4 5 4" xfId="882"/>
    <cellStyle name="Normal 114 4 6" xfId="883"/>
    <cellStyle name="Normal 114 4 6 2" xfId="884"/>
    <cellStyle name="Normal 114 4 6 3" xfId="885"/>
    <cellStyle name="Normal 114 4 6 4" xfId="886"/>
    <cellStyle name="Normal 114 4 7" xfId="887"/>
    <cellStyle name="Normal 114 4 7 2" xfId="888"/>
    <cellStyle name="Normal 114 4 7 3" xfId="889"/>
    <cellStyle name="Normal 114 4 8" xfId="890"/>
    <cellStyle name="Normal 114 4 8 2" xfId="891"/>
    <cellStyle name="Normal 114 4 9" xfId="892"/>
    <cellStyle name="Normal 114 5" xfId="893"/>
    <cellStyle name="Normal 114 5 2" xfId="894"/>
    <cellStyle name="Normal 114 5 2 2" xfId="895"/>
    <cellStyle name="Normal 114 5 2 3" xfId="896"/>
    <cellStyle name="Normal 114 5 2 4" xfId="897"/>
    <cellStyle name="Normal 114 5 2 5" xfId="898"/>
    <cellStyle name="Normal 114 5 3" xfId="899"/>
    <cellStyle name="Normal 114 5 3 2" xfId="900"/>
    <cellStyle name="Normal 114 5 3 3" xfId="901"/>
    <cellStyle name="Normal 114 5 3 4" xfId="902"/>
    <cellStyle name="Normal 114 5 4" xfId="903"/>
    <cellStyle name="Normal 114 5 4 2" xfId="904"/>
    <cellStyle name="Normal 114 5 4 3" xfId="905"/>
    <cellStyle name="Normal 114 5 4 4" xfId="906"/>
    <cellStyle name="Normal 114 5 5" xfId="907"/>
    <cellStyle name="Normal 114 5 5 2" xfId="908"/>
    <cellStyle name="Normal 114 5 5 3" xfId="909"/>
    <cellStyle name="Normal 114 5 6" xfId="910"/>
    <cellStyle name="Normal 114 5 6 2" xfId="911"/>
    <cellStyle name="Normal 114 5 7" xfId="912"/>
    <cellStyle name="Normal 114 6" xfId="913"/>
    <cellStyle name="Normal 114 6 2" xfId="914"/>
    <cellStyle name="Normal 114 6 2 2" xfId="915"/>
    <cellStyle name="Normal 114 6 2 3" xfId="916"/>
    <cellStyle name="Normal 114 6 3" xfId="917"/>
    <cellStyle name="Normal 114 6 3 2" xfId="918"/>
    <cellStyle name="Normal 114 6 4" xfId="919"/>
    <cellStyle name="Normal 114 6 5" xfId="920"/>
    <cellStyle name="Normal 114 7" xfId="921"/>
    <cellStyle name="Normal 114 7 2" xfId="922"/>
    <cellStyle name="Normal 114 7 2 2" xfId="923"/>
    <cellStyle name="Normal 114 7 3" xfId="924"/>
    <cellStyle name="Normal 114 7 4" xfId="925"/>
    <cellStyle name="Normal 114 8" xfId="926"/>
    <cellStyle name="Normal 114 8 2" xfId="927"/>
    <cellStyle name="Normal 114 8 3" xfId="928"/>
    <cellStyle name="Normal 114 8 4" xfId="929"/>
    <cellStyle name="Normal 114 9" xfId="930"/>
    <cellStyle name="Normal 114 9 2" xfId="931"/>
    <cellStyle name="Normal 114 9 3" xfId="932"/>
    <cellStyle name="Normal 114 9 4" xfId="933"/>
    <cellStyle name="Normal 115" xfId="934"/>
    <cellStyle name="Normal 116" xfId="935"/>
    <cellStyle name="Normal 117" xfId="936"/>
    <cellStyle name="Normal 117 2" xfId="937"/>
    <cellStyle name="Normal 118" xfId="938"/>
    <cellStyle name="Normal 119" xfId="939"/>
    <cellStyle name="Normal 12" xfId="940"/>
    <cellStyle name="Normal 12 2" xfId="941"/>
    <cellStyle name="Normal 120" xfId="942"/>
    <cellStyle name="Normal 121" xfId="943"/>
    <cellStyle name="Normal 122" xfId="944"/>
    <cellStyle name="Normal 123" xfId="945"/>
    <cellStyle name="Normal 124" xfId="946"/>
    <cellStyle name="Normal 125" xfId="947"/>
    <cellStyle name="Normal 126" xfId="948"/>
    <cellStyle name="Normal 127" xfId="949"/>
    <cellStyle name="Normal 128" xfId="950"/>
    <cellStyle name="Normal 129" xfId="951"/>
    <cellStyle name="Normal 129 2" xfId="952"/>
    <cellStyle name="Normal 13" xfId="953"/>
    <cellStyle name="Normal 13 2" xfId="954"/>
    <cellStyle name="Normal 13 3" xfId="955"/>
    <cellStyle name="Normal 130" xfId="956"/>
    <cellStyle name="Normal 131" xfId="957"/>
    <cellStyle name="Normal 132" xfId="958"/>
    <cellStyle name="Normal 133" xfId="959"/>
    <cellStyle name="Normal 133 2" xfId="960"/>
    <cellStyle name="Normal 134" xfId="961"/>
    <cellStyle name="Normal 135" xfId="962"/>
    <cellStyle name="Normal 136" xfId="963"/>
    <cellStyle name="Normal 137" xfId="964"/>
    <cellStyle name="Normal 138" xfId="965"/>
    <cellStyle name="Normal 139" xfId="966"/>
    <cellStyle name="Normal 14" xfId="967"/>
    <cellStyle name="Normal 14 2" xfId="968"/>
    <cellStyle name="Normal 140" xfId="969"/>
    <cellStyle name="Normal 141" xfId="970"/>
    <cellStyle name="Normal 142" xfId="971"/>
    <cellStyle name="Normal 142 2" xfId="972"/>
    <cellStyle name="Normal 143" xfId="973"/>
    <cellStyle name="Normal 143 2" xfId="974"/>
    <cellStyle name="Normal 144" xfId="975"/>
    <cellStyle name="Normal 145" xfId="976"/>
    <cellStyle name="Normal 146" xfId="977"/>
    <cellStyle name="Normal 146 2" xfId="978"/>
    <cellStyle name="Normal 147" xfId="979"/>
    <cellStyle name="Normal 148" xfId="980"/>
    <cellStyle name="Normal 149" xfId="981"/>
    <cellStyle name="Normal 15" xfId="982"/>
    <cellStyle name="Normal 150" xfId="983"/>
    <cellStyle name="Normal 151" xfId="984"/>
    <cellStyle name="Normal 152" xfId="985"/>
    <cellStyle name="Normal 153" xfId="986"/>
    <cellStyle name="Normal 154" xfId="987"/>
    <cellStyle name="Normal 154 2" xfId="988"/>
    <cellStyle name="Normal 155" xfId="989"/>
    <cellStyle name="Normal 156" xfId="990"/>
    <cellStyle name="Normal 157" xfId="991"/>
    <cellStyle name="Normal 158" xfId="992"/>
    <cellStyle name="Normal 158 2" xfId="993"/>
    <cellStyle name="Normal 159" xfId="994"/>
    <cellStyle name="Normal 16" xfId="995"/>
    <cellStyle name="Normal 160" xfId="996"/>
    <cellStyle name="Normal 161" xfId="997"/>
    <cellStyle name="Normal 162" xfId="998"/>
    <cellStyle name="Normal 163" xfId="999"/>
    <cellStyle name="Normal 163 2" xfId="1000"/>
    <cellStyle name="Normal 164" xfId="1001"/>
    <cellStyle name="Normal 165" xfId="1002"/>
    <cellStyle name="Normal 166" xfId="1003"/>
    <cellStyle name="Normal 166 2" xfId="1004"/>
    <cellStyle name="Normal 167" xfId="1005"/>
    <cellStyle name="Normal 168" xfId="1006"/>
    <cellStyle name="Normal 169" xfId="1007"/>
    <cellStyle name="Normal 17" xfId="1008"/>
    <cellStyle name="Normal 17 2" xfId="1009"/>
    <cellStyle name="Normal 170" xfId="1010"/>
    <cellStyle name="Normal 171" xfId="1011"/>
    <cellStyle name="Normal 172" xfId="1012"/>
    <cellStyle name="Normal 173" xfId="1013"/>
    <cellStyle name="Normal 173 2" xfId="1014"/>
    <cellStyle name="Normal 174" xfId="1015"/>
    <cellStyle name="Normal 174 2" xfId="1016"/>
    <cellStyle name="Normal 175" xfId="1017"/>
    <cellStyle name="Normal 176" xfId="1018"/>
    <cellStyle name="Normal 177" xfId="1019"/>
    <cellStyle name="Normal 177 2" xfId="1020"/>
    <cellStyle name="Normal 178" xfId="1021"/>
    <cellStyle name="Normal 179" xfId="1022"/>
    <cellStyle name="Normal 18" xfId="1023"/>
    <cellStyle name="Normal 18 10" xfId="1024"/>
    <cellStyle name="Normal 18 11" xfId="1025"/>
    <cellStyle name="Normal 18 12" xfId="1026"/>
    <cellStyle name="Normal 18 2" xfId="1027"/>
    <cellStyle name="Normal 18 3" xfId="1028"/>
    <cellStyle name="Normal 18 3 2" xfId="1029"/>
    <cellStyle name="Normal 18 3 2 2" xfId="1030"/>
    <cellStyle name="Normal 18 3 2 3" xfId="1031"/>
    <cellStyle name="Normal 18 3 3" xfId="1032"/>
    <cellStyle name="Normal 18 4" xfId="1033"/>
    <cellStyle name="Normal 18 5" xfId="1034"/>
    <cellStyle name="Normal 18 6" xfId="1035"/>
    <cellStyle name="Normal 18 7" xfId="1036"/>
    <cellStyle name="Normal 18 8" xfId="1037"/>
    <cellStyle name="Normal 18 9" xfId="1038"/>
    <cellStyle name="Normal 180" xfId="1039"/>
    <cellStyle name="Normal 181" xfId="1040"/>
    <cellStyle name="Normal 182" xfId="1041"/>
    <cellStyle name="Normal 182 2" xfId="1042"/>
    <cellStyle name="Normal 183" xfId="1043"/>
    <cellStyle name="Normal 183 2" xfId="1044"/>
    <cellStyle name="Normal 184" xfId="1045"/>
    <cellStyle name="Normal 184 2" xfId="1046"/>
    <cellStyle name="Normal 185" xfId="1047"/>
    <cellStyle name="Normal 185 2" xfId="1048"/>
    <cellStyle name="Normal 186" xfId="1049"/>
    <cellStyle name="Normal 187" xfId="1050"/>
    <cellStyle name="Normal 188" xfId="1051"/>
    <cellStyle name="Normal 189" xfId="1052"/>
    <cellStyle name="Normal 189 2" xfId="1053"/>
    <cellStyle name="Normal 19" xfId="1054"/>
    <cellStyle name="Normal 19 10" xfId="1055"/>
    <cellStyle name="Normal 19 11" xfId="1056"/>
    <cellStyle name="Normal 19 12" xfId="1057"/>
    <cellStyle name="Normal 19 2" xfId="1058"/>
    <cellStyle name="Normal 19 3" xfId="1059"/>
    <cellStyle name="Normal 19 3 2" xfId="1060"/>
    <cellStyle name="Normal 19 3 2 2" xfId="1061"/>
    <cellStyle name="Normal 19 3 2 3" xfId="1062"/>
    <cellStyle name="Normal 19 3 3" xfId="1063"/>
    <cellStyle name="Normal 19 4" xfId="1064"/>
    <cellStyle name="Normal 19 5" xfId="1065"/>
    <cellStyle name="Normal 19 6" xfId="1066"/>
    <cellStyle name="Normal 19 7" xfId="1067"/>
    <cellStyle name="Normal 19 8" xfId="1068"/>
    <cellStyle name="Normal 19 9" xfId="1069"/>
    <cellStyle name="Normal 190" xfId="1070"/>
    <cellStyle name="Normal 191" xfId="1071"/>
    <cellStyle name="Normal 191 2" xfId="1072"/>
    <cellStyle name="Normal 192" xfId="1073"/>
    <cellStyle name="Normal 192 2" xfId="1074"/>
    <cellStyle name="Normal 193" xfId="1075"/>
    <cellStyle name="Normal 194" xfId="1076"/>
    <cellStyle name="Normal 195" xfId="1077"/>
    <cellStyle name="Normal 195 2" xfId="1078"/>
    <cellStyle name="Normal 196" xfId="1079"/>
    <cellStyle name="Normal 196 2" xfId="1080"/>
    <cellStyle name="Normal 197" xfId="1081"/>
    <cellStyle name="Normal 197 2" xfId="1082"/>
    <cellStyle name="Normal 198" xfId="1083"/>
    <cellStyle name="Normal 198 2" xfId="1084"/>
    <cellStyle name="Normal 199" xfId="1085"/>
    <cellStyle name="Normal 199 2" xfId="1086"/>
    <cellStyle name="Normal 2" xfId="1087"/>
    <cellStyle name="Normal 2 10" xfId="1088"/>
    <cellStyle name="Normal 2 10 2" xfId="1089"/>
    <cellStyle name="Normal 2 11" xfId="1090"/>
    <cellStyle name="Normal 2 12" xfId="1091"/>
    <cellStyle name="Normal 2 13" xfId="1092"/>
    <cellStyle name="Normal 2 14" xfId="1093"/>
    <cellStyle name="Normal 2 15" xfId="1094"/>
    <cellStyle name="Normal 2 16" xfId="1095"/>
    <cellStyle name="Normal 2 17" xfId="1096"/>
    <cellStyle name="Normal 2 18" xfId="1097"/>
    <cellStyle name="Normal 2 19" xfId="1098"/>
    <cellStyle name="Normal 2 2" xfId="1099"/>
    <cellStyle name="Normal 2 2 10" xfId="1100"/>
    <cellStyle name="Normal 2 2 11" xfId="1101"/>
    <cellStyle name="Normal 2 2 2" xfId="1102"/>
    <cellStyle name="Normal 2 2 2 2" xfId="1103"/>
    <cellStyle name="Normal 2 2 2_ACT BNDE NR" xfId="1104"/>
    <cellStyle name="Normal 2 2 3" xfId="1105"/>
    <cellStyle name="Normal 2 2 4" xfId="1106"/>
    <cellStyle name="Normal 2 2 5" xfId="1107"/>
    <cellStyle name="Normal 2 2 6" xfId="1108"/>
    <cellStyle name="Normal 2 2 7" xfId="1109"/>
    <cellStyle name="Normal 2 2 8" xfId="1110"/>
    <cellStyle name="Normal 2 2 9" xfId="1111"/>
    <cellStyle name="Normal 2 20" xfId="1112"/>
    <cellStyle name="Normal 2 3" xfId="1113"/>
    <cellStyle name="Normal 2 3 2" xfId="1114"/>
    <cellStyle name="Normal 2 3 2 2" xfId="1115"/>
    <cellStyle name="Normal 2 3 2_ACT BNDE NR" xfId="1116"/>
    <cellStyle name="Normal 2 3 3" xfId="1117"/>
    <cellStyle name="Normal 2 3 4" xfId="1118"/>
    <cellStyle name="Normal 2 3 5" xfId="1119"/>
    <cellStyle name="Normal 2 4" xfId="1120"/>
    <cellStyle name="Normal 2 4 10" xfId="1121"/>
    <cellStyle name="Normal 2 4 11" xfId="1122"/>
    <cellStyle name="Normal 2 4 12" xfId="1123"/>
    <cellStyle name="Normal 2 4 13" xfId="1124"/>
    <cellStyle name="Normal 2 4 2" xfId="1125"/>
    <cellStyle name="Normal 2 4 2 2" xfId="1126"/>
    <cellStyle name="Normal 2 4 2 2 2" xfId="1127"/>
    <cellStyle name="Normal 2 4 2 2 3" xfId="1128"/>
    <cellStyle name="Normal 2 4 2 3" xfId="1129"/>
    <cellStyle name="Normal 2 4 2_ACT BNDE NR" xfId="1130"/>
    <cellStyle name="Normal 2 4 3" xfId="1131"/>
    <cellStyle name="Normal 2 4 3 2" xfId="1132"/>
    <cellStyle name="Normal 2 4 3_ACT FPHU NR" xfId="1133"/>
    <cellStyle name="Normal 2 4 4" xfId="1134"/>
    <cellStyle name="Normal 2 4 4 2" xfId="1135"/>
    <cellStyle name="Normal 2 4 4_ACT FPHU NR" xfId="1136"/>
    <cellStyle name="Normal 2 4 5" xfId="1137"/>
    <cellStyle name="Normal 2 4 5 2" xfId="1138"/>
    <cellStyle name="Normal 2 4 5_ACT FPHU NR" xfId="1139"/>
    <cellStyle name="Normal 2 4 6" xfId="1140"/>
    <cellStyle name="Normal 2 4 7" xfId="1141"/>
    <cellStyle name="Normal 2 4 8" xfId="1142"/>
    <cellStyle name="Normal 2 4 9" xfId="1143"/>
    <cellStyle name="Normal 2 5" xfId="1144"/>
    <cellStyle name="Normal 2 5 2" xfId="1145"/>
    <cellStyle name="Normal 2 6" xfId="1146"/>
    <cellStyle name="Normal 2 6 2" xfId="1147"/>
    <cellStyle name="Normal 2 7" xfId="1148"/>
    <cellStyle name="Normal 2 7 2" xfId="1149"/>
    <cellStyle name="Normal 2 8" xfId="1150"/>
    <cellStyle name="Normal 2 8 2" xfId="1151"/>
    <cellStyle name="Normal 2 9" xfId="1152"/>
    <cellStyle name="Normal 2 9 2" xfId="1153"/>
    <cellStyle name="Normal 2_ACT BNDE NR" xfId="1154"/>
    <cellStyle name="Normal 20" xfId="1155"/>
    <cellStyle name="Normal 200" xfId="1156"/>
    <cellStyle name="Normal 200 2" xfId="1157"/>
    <cellStyle name="Normal 201" xfId="1158"/>
    <cellStyle name="Normal 202" xfId="1159"/>
    <cellStyle name="Normal 203" xfId="1160"/>
    <cellStyle name="Normal 204" xfId="1161"/>
    <cellStyle name="Normal 204 2" xfId="1162"/>
    <cellStyle name="Normal 205" xfId="1163"/>
    <cellStyle name="Normal 205 2" xfId="1164"/>
    <cellStyle name="Normal 206" xfId="1165"/>
    <cellStyle name="Normal 206 2" xfId="1166"/>
    <cellStyle name="Normal 206 3" xfId="1167"/>
    <cellStyle name="Normal 207" xfId="1168"/>
    <cellStyle name="Normal 207 2" xfId="1169"/>
    <cellStyle name="Normal 207 3" xfId="1170"/>
    <cellStyle name="Normal 208" xfId="1171"/>
    <cellStyle name="Normal 208 2" xfId="1172"/>
    <cellStyle name="Normal 208 3" xfId="1173"/>
    <cellStyle name="Normal 209" xfId="1174"/>
    <cellStyle name="Normal 209 2" xfId="1175"/>
    <cellStyle name="Normal 209 3" xfId="1176"/>
    <cellStyle name="Normal 21" xfId="1177"/>
    <cellStyle name="Normal 210" xfId="1178"/>
    <cellStyle name="Normal 210 2" xfId="1179"/>
    <cellStyle name="Normal 210 2 2" xfId="1180"/>
    <cellStyle name="Normal 210 2 3" xfId="1181"/>
    <cellStyle name="Normal 210 3" xfId="1182"/>
    <cellStyle name="Normal 211" xfId="1183"/>
    <cellStyle name="Normal 211 2" xfId="1184"/>
    <cellStyle name="Normal 211 2 2" xfId="1185"/>
    <cellStyle name="Normal 212" xfId="1186"/>
    <cellStyle name="Normal 212 2" xfId="1187"/>
    <cellStyle name="Normal 212 2 2" xfId="1188"/>
    <cellStyle name="Normal 212 2 3" xfId="1189"/>
    <cellStyle name="Normal 212 3" xfId="1190"/>
    <cellStyle name="Normal 213" xfId="1191"/>
    <cellStyle name="Normal 213 2" xfId="1192"/>
    <cellStyle name="Normal 213 2 2" xfId="1193"/>
    <cellStyle name="Normal 214" xfId="1194"/>
    <cellStyle name="Normal 214 2" xfId="1195"/>
    <cellStyle name="Normal 214 2 2" xfId="1196"/>
    <cellStyle name="Normal 214 2 3" xfId="1197"/>
    <cellStyle name="Normal 214 3" xfId="1198"/>
    <cellStyle name="Normal 214 4" xfId="1199"/>
    <cellStyle name="Normal 214 5" xfId="1200"/>
    <cellStyle name="Normal 215" xfId="1201"/>
    <cellStyle name="Normal 215 2" xfId="1202"/>
    <cellStyle name="Normal 215 3" xfId="1203"/>
    <cellStyle name="Normal 215 4" xfId="1204"/>
    <cellStyle name="Normal 216" xfId="1205"/>
    <cellStyle name="Normal 216 2" xfId="1206"/>
    <cellStyle name="Normal 216 3" xfId="1207"/>
    <cellStyle name="Normal 216 4" xfId="1208"/>
    <cellStyle name="Normal 217" xfId="1209"/>
    <cellStyle name="Normal 217 2" xfId="1210"/>
    <cellStyle name="Normal 217 2 2" xfId="1211"/>
    <cellStyle name="Normal 217 3" xfId="1212"/>
    <cellStyle name="Normal 217 4" xfId="1213"/>
    <cellStyle name="Normal 218" xfId="1214"/>
    <cellStyle name="Normal 218 2" xfId="1215"/>
    <cellStyle name="Normal 218 2 2" xfId="1216"/>
    <cellStyle name="Normal 218 3" xfId="1217"/>
    <cellStyle name="Normal 218 4" xfId="1218"/>
    <cellStyle name="Normal 219" xfId="1219"/>
    <cellStyle name="Normal 219 2" xfId="1220"/>
    <cellStyle name="Normal 219 2 2" xfId="1221"/>
    <cellStyle name="Normal 219 3" xfId="1222"/>
    <cellStyle name="Normal 219 4" xfId="1223"/>
    <cellStyle name="Normal 22" xfId="1224"/>
    <cellStyle name="Normal 22 10" xfId="1225"/>
    <cellStyle name="Normal 22 11" xfId="1226"/>
    <cellStyle name="Normal 22 12" xfId="1227"/>
    <cellStyle name="Normal 22 2" xfId="1228"/>
    <cellStyle name="Normal 22 2 2" xfId="1229"/>
    <cellStyle name="Normal 22 2 2 2" xfId="1230"/>
    <cellStyle name="Normal 22 2 2 3" xfId="1231"/>
    <cellStyle name="Normal 22 2 3" xfId="1232"/>
    <cellStyle name="Normal 22 3" xfId="1233"/>
    <cellStyle name="Normal 22 4" xfId="1234"/>
    <cellStyle name="Normal 22 5" xfId="1235"/>
    <cellStyle name="Normal 22 6" xfId="1236"/>
    <cellStyle name="Normal 22 7" xfId="1237"/>
    <cellStyle name="Normal 22 8" xfId="1238"/>
    <cellStyle name="Normal 22 9" xfId="1239"/>
    <cellStyle name="Normal 220" xfId="1240"/>
    <cellStyle name="Normal 220 2" xfId="1241"/>
    <cellStyle name="Normal 220 2 2" xfId="1242"/>
    <cellStyle name="Normal 220 3" xfId="1243"/>
    <cellStyle name="Normal 221" xfId="1244"/>
    <cellStyle name="Normal 221 2" xfId="1245"/>
    <cellStyle name="Normal 221 2 2" xfId="1246"/>
    <cellStyle name="Normal 221 3" xfId="1247"/>
    <cellStyle name="Normal 222" xfId="1248"/>
    <cellStyle name="Normal 222 2" xfId="1249"/>
    <cellStyle name="Normal 222 2 2" xfId="1250"/>
    <cellStyle name="Normal 222 3" xfId="1251"/>
    <cellStyle name="Normal 223" xfId="1252"/>
    <cellStyle name="Normal 223 2" xfId="1253"/>
    <cellStyle name="Normal 223 2 2" xfId="1254"/>
    <cellStyle name="Normal 224" xfId="1255"/>
    <cellStyle name="Normal 224 2" xfId="1256"/>
    <cellStyle name="Normal 224 2 2" xfId="1257"/>
    <cellStyle name="Normal 225" xfId="1258"/>
    <cellStyle name="Normal 225 2" xfId="1259"/>
    <cellStyle name="Normal 225 2 2" xfId="1260"/>
    <cellStyle name="Normal 226" xfId="1261"/>
    <cellStyle name="Normal 226 2" xfId="1262"/>
    <cellStyle name="Normal 227" xfId="1263"/>
    <cellStyle name="Normal 228" xfId="1264"/>
    <cellStyle name="Normal 229" xfId="1265"/>
    <cellStyle name="Normal 23" xfId="1266"/>
    <cellStyle name="Normal 23 10" xfId="1267"/>
    <cellStyle name="Normal 23 11" xfId="1268"/>
    <cellStyle name="Normal 23 12" xfId="1269"/>
    <cellStyle name="Normal 23 2" xfId="1270"/>
    <cellStyle name="Normal 23 2 10" xfId="1271"/>
    <cellStyle name="Normal 23 2 11" xfId="1272"/>
    <cellStyle name="Normal 23 2 12" xfId="1273"/>
    <cellStyle name="Normal 23 2 2" xfId="1274"/>
    <cellStyle name="Normal 23 2 3" xfId="1275"/>
    <cellStyle name="Normal 23 2 4" xfId="1276"/>
    <cellStyle name="Normal 23 2 5" xfId="1277"/>
    <cellStyle name="Normal 23 2 6" xfId="1278"/>
    <cellStyle name="Normal 23 2 7" xfId="1279"/>
    <cellStyle name="Normal 23 2 8" xfId="1280"/>
    <cellStyle name="Normal 23 2 9" xfId="1281"/>
    <cellStyle name="Normal 23 3" xfId="1282"/>
    <cellStyle name="Normal 23 3 2" xfId="1283"/>
    <cellStyle name="Normal 23 3 2 2" xfId="1284"/>
    <cellStyle name="Normal 23 3 2 3" xfId="1285"/>
    <cellStyle name="Normal 23 3 3" xfId="1286"/>
    <cellStyle name="Normal 23 4" xfId="1287"/>
    <cellStyle name="Normal 23 4 2" xfId="1288"/>
    <cellStyle name="Normal 23 4 3" xfId="1289"/>
    <cellStyle name="Normal 23 5" xfId="1290"/>
    <cellStyle name="Normal 23 6" xfId="1291"/>
    <cellStyle name="Normal 23 7" xfId="1292"/>
    <cellStyle name="Normal 23 8" xfId="1293"/>
    <cellStyle name="Normal 23 9" xfId="1294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305"/>
    <cellStyle name="Normal 24 10" xfId="1306"/>
    <cellStyle name="Normal 24 2" xfId="1307"/>
    <cellStyle name="Normal 24 2 2" xfId="1308"/>
    <cellStyle name="Normal 24 2 2 2" xfId="1309"/>
    <cellStyle name="Normal 24 2 2 3" xfId="1310"/>
    <cellStyle name="Normal 24 2 3" xfId="1311"/>
    <cellStyle name="Normal 24 3" xfId="1312"/>
    <cellStyle name="Normal 24 4" xfId="1313"/>
    <cellStyle name="Normal 24 5" xfId="1314"/>
    <cellStyle name="Normal 24 6" xfId="1315"/>
    <cellStyle name="Normal 24 7" xfId="1316"/>
    <cellStyle name="Normal 24 8" xfId="1317"/>
    <cellStyle name="Normal 24 9" xfId="1318"/>
    <cellStyle name="Normal 240" xfId="1319"/>
    <cellStyle name="Normal 241" xfId="1320"/>
    <cellStyle name="Normal 242" xfId="1321"/>
    <cellStyle name="Normal 242 2" xfId="1322"/>
    <cellStyle name="Normal 243" xfId="1323"/>
    <cellStyle name="Normal 243 2" xfId="1324"/>
    <cellStyle name="Normal 244" xfId="1325"/>
    <cellStyle name="Normal 245" xfId="1326"/>
    <cellStyle name="Normal 246" xfId="1327"/>
    <cellStyle name="Normal 247" xfId="1328"/>
    <cellStyle name="Normal 248" xfId="1329"/>
    <cellStyle name="Normal 249" xfId="1330"/>
    <cellStyle name="Normal 25" xfId="1331"/>
    <cellStyle name="Normal 25 2" xfId="1332"/>
    <cellStyle name="Normal 250" xfId="1333"/>
    <cellStyle name="Normal 251" xfId="1334"/>
    <cellStyle name="Normal 252" xfId="1335"/>
    <cellStyle name="Normal 253" xfId="1336"/>
    <cellStyle name="Normal 254" xfId="1337"/>
    <cellStyle name="Normal 255" xfId="1338"/>
    <cellStyle name="Normal 256" xfId="1339"/>
    <cellStyle name="Normal 257" xfId="1340"/>
    <cellStyle name="Normal 258" xfId="1341"/>
    <cellStyle name="Normal 259" xfId="1342"/>
    <cellStyle name="Normal 26" xfId="1343"/>
    <cellStyle name="Normal 26 10" xfId="1344"/>
    <cellStyle name="Normal 26 11" xfId="1345"/>
    <cellStyle name="Normal 26 12" xfId="1346"/>
    <cellStyle name="Normal 26 2" xfId="1347"/>
    <cellStyle name="Normal 26 2 2" xfId="1348"/>
    <cellStyle name="Normal 26 2 2 2" xfId="1349"/>
    <cellStyle name="Normal 26 2 2 3" xfId="1350"/>
    <cellStyle name="Normal 26 2 3" xfId="1351"/>
    <cellStyle name="Normal 26 3" xfId="1352"/>
    <cellStyle name="Normal 26 4" xfId="1353"/>
    <cellStyle name="Normal 26 5" xfId="1354"/>
    <cellStyle name="Normal 26 6" xfId="1355"/>
    <cellStyle name="Normal 26 7" xfId="1356"/>
    <cellStyle name="Normal 26 8" xfId="1357"/>
    <cellStyle name="Normal 26 9" xfId="1358"/>
    <cellStyle name="Normal 260" xfId="1359"/>
    <cellStyle name="Normal 261" xfId="1360"/>
    <cellStyle name="Normal 262" xfId="1361"/>
    <cellStyle name="Normal 263" xfId="1362"/>
    <cellStyle name="Normal 264" xfId="1363"/>
    <cellStyle name="Normal 265" xfId="1364"/>
    <cellStyle name="Normal 266" xfId="1365"/>
    <cellStyle name="Normal 267" xfId="1366"/>
    <cellStyle name="Normal 268" xfId="1367"/>
    <cellStyle name="Normal 269" xfId="1368"/>
    <cellStyle name="Normal 27" xfId="1369"/>
    <cellStyle name="Normal 27 10" xfId="1370"/>
    <cellStyle name="Normal 27 11" xfId="1371"/>
    <cellStyle name="Normal 27 12" xfId="1372"/>
    <cellStyle name="Normal 27 2" xfId="1373"/>
    <cellStyle name="Normal 27 2 2" xfId="1374"/>
    <cellStyle name="Normal 27 2 2 2" xfId="1375"/>
    <cellStyle name="Normal 27 2 2 3" xfId="1376"/>
    <cellStyle name="Normal 27 2 3" xfId="1377"/>
    <cellStyle name="Normal 27 3" xfId="1378"/>
    <cellStyle name="Normal 27 4" xfId="1379"/>
    <cellStyle name="Normal 27 5" xfId="1380"/>
    <cellStyle name="Normal 27 6" xfId="1381"/>
    <cellStyle name="Normal 27 7" xfId="1382"/>
    <cellStyle name="Normal 27 8" xfId="1383"/>
    <cellStyle name="Normal 27 9" xfId="1384"/>
    <cellStyle name="Normal 270" xfId="1385"/>
    <cellStyle name="Normal 271" xfId="1386"/>
    <cellStyle name="Normal 272" xfId="1387"/>
    <cellStyle name="Normal 273" xfId="1388"/>
    <cellStyle name="Normal 274" xfId="1389"/>
    <cellStyle name="Normal 275" xfId="1390"/>
    <cellStyle name="Normal 276" xfId="1391"/>
    <cellStyle name="Normal 277" xfId="1392"/>
    <cellStyle name="Normal 278" xfId="1393"/>
    <cellStyle name="Normal 279" xfId="1394"/>
    <cellStyle name="Normal 28" xfId="1395"/>
    <cellStyle name="Normal 28 10" xfId="1396"/>
    <cellStyle name="Normal 28 2" xfId="1397"/>
    <cellStyle name="Normal 28 2 2" xfId="1398"/>
    <cellStyle name="Normal 28 2 2 2" xfId="1399"/>
    <cellStyle name="Normal 28 2 2 3" xfId="1400"/>
    <cellStyle name="Normal 28 2 3" xfId="1401"/>
    <cellStyle name="Normal 28 3" xfId="1402"/>
    <cellStyle name="Normal 28 4" xfId="1403"/>
    <cellStyle name="Normal 28 5" xfId="1404"/>
    <cellStyle name="Normal 28 6" xfId="1405"/>
    <cellStyle name="Normal 28 7" xfId="1406"/>
    <cellStyle name="Normal 28 8" xfId="1407"/>
    <cellStyle name="Normal 28 9" xfId="1408"/>
    <cellStyle name="Normal 280" xfId="1409"/>
    <cellStyle name="Normal 281" xfId="1410"/>
    <cellStyle name="Normal 282" xfId="1411"/>
    <cellStyle name="Normal 283" xfId="1412"/>
    <cellStyle name="Normal 284" xfId="1413"/>
    <cellStyle name="Normal 285" xfId="1414"/>
    <cellStyle name="Normal 286" xfId="1415"/>
    <cellStyle name="Normal 287" xfId="1416"/>
    <cellStyle name="Normal 288" xfId="1417"/>
    <cellStyle name="Normal 289" xfId="1418"/>
    <cellStyle name="Normal 29" xfId="1419"/>
    <cellStyle name="Normal 290" xfId="1420"/>
    <cellStyle name="Normal 291" xfId="1421"/>
    <cellStyle name="Normal 292" xfId="1422"/>
    <cellStyle name="Normal 293" xfId="1423"/>
    <cellStyle name="Normal 294" xfId="1424"/>
    <cellStyle name="Normal 295" xfId="1425"/>
    <cellStyle name="Normal 296" xfId="1426"/>
    <cellStyle name="Normal 297" xfId="1427"/>
    <cellStyle name="Normal 298" xfId="1428"/>
    <cellStyle name="Normal 299" xfId="1429"/>
    <cellStyle name="Normal 3" xfId="1430"/>
    <cellStyle name="Normal 3 10" xfId="1431"/>
    <cellStyle name="Normal 3 11" xfId="1432"/>
    <cellStyle name="Normal 3 12" xfId="1433"/>
    <cellStyle name="Normal 3 13" xfId="1434"/>
    <cellStyle name="Normal 3 14" xfId="1435"/>
    <cellStyle name="Normal 3 15" xfId="1436"/>
    <cellStyle name="Normal 3 16" xfId="1437"/>
    <cellStyle name="Normal 3 17" xfId="1438"/>
    <cellStyle name="Normal 3 18" xfId="1439"/>
    <cellStyle name="Normal 3 2" xfId="1440"/>
    <cellStyle name="Normal 3 2 2" xfId="1441"/>
    <cellStyle name="Normal 3 3" xfId="1442"/>
    <cellStyle name="Normal 3 3 2" xfId="1443"/>
    <cellStyle name="Normal 3 3_ACT FPHU NR" xfId="1444"/>
    <cellStyle name="Normal 3 4" xfId="1445"/>
    <cellStyle name="Normal 3 4 10" xfId="1446"/>
    <cellStyle name="Normal 3 4 11" xfId="1447"/>
    <cellStyle name="Normal 3 4 12" xfId="1448"/>
    <cellStyle name="Normal 3 4 2" xfId="1449"/>
    <cellStyle name="Normal 3 4 2 2" xfId="1450"/>
    <cellStyle name="Normal 3 4 2 2 2" xfId="1451"/>
    <cellStyle name="Normal 3 4 2 2 3" xfId="1452"/>
    <cellStyle name="Normal 3 4 2 3" xfId="1453"/>
    <cellStyle name="Normal 3 4 3" xfId="1454"/>
    <cellStyle name="Normal 3 4 4" xfId="1455"/>
    <cellStyle name="Normal 3 4 5" xfId="1456"/>
    <cellStyle name="Normal 3 4 6" xfId="1457"/>
    <cellStyle name="Normal 3 4 7" xfId="1458"/>
    <cellStyle name="Normal 3 4 8" xfId="1459"/>
    <cellStyle name="Normal 3 4 9" xfId="1460"/>
    <cellStyle name="Normal 3 5" xfId="1461"/>
    <cellStyle name="Normal 3 6" xfId="1462"/>
    <cellStyle name="Normal 3 7" xfId="1463"/>
    <cellStyle name="Normal 3 8" xfId="1464"/>
    <cellStyle name="Normal 3 9" xfId="1465"/>
    <cellStyle name="Normal 3_ACT BNDE NR" xfId="1466"/>
    <cellStyle name="Normal 30" xfId="1467"/>
    <cellStyle name="Normal 30 2" xfId="1468"/>
    <cellStyle name="Normal 300" xfId="1469"/>
    <cellStyle name="Normal 301" xfId="1470"/>
    <cellStyle name="Normal 302" xfId="1471"/>
    <cellStyle name="Normal 303" xfId="1472"/>
    <cellStyle name="Normal 304" xfId="1473"/>
    <cellStyle name="Normal 305" xfId="1474"/>
    <cellStyle name="Normal 306" xfId="1475"/>
    <cellStyle name="Normal 307" xfId="1476"/>
    <cellStyle name="Normal 308" xfId="1477"/>
    <cellStyle name="Normal 309" xfId="1478"/>
    <cellStyle name="Normal 31" xfId="1479"/>
    <cellStyle name="Normal 310" xfId="1480"/>
    <cellStyle name="Normal 311" xfId="1481"/>
    <cellStyle name="Normal 312" xfId="1482"/>
    <cellStyle name="Normal 313" xfId="1483"/>
    <cellStyle name="Normal 314" xfId="1484"/>
    <cellStyle name="Normal 315" xfId="1485"/>
    <cellStyle name="Normal 316" xfId="1486"/>
    <cellStyle name="Normal 317" xfId="1487"/>
    <cellStyle name="Normal 318" xfId="1488"/>
    <cellStyle name="Normal 319" xfId="1489"/>
    <cellStyle name="Normal 32" xfId="1490"/>
    <cellStyle name="Normal 32 2" xfId="1491"/>
    <cellStyle name="Normal 32 2 2" xfId="1492"/>
    <cellStyle name="Normal 32 2 2 2" xfId="1493"/>
    <cellStyle name="Normal 32 2 2 3" xfId="1494"/>
    <cellStyle name="Normal 32 2 3" xfId="1495"/>
    <cellStyle name="Normal 32 3" xfId="1496"/>
    <cellStyle name="Normal 32 4" xfId="1497"/>
    <cellStyle name="Normal 32 5" xfId="1498"/>
    <cellStyle name="Normal 32 6" xfId="1499"/>
    <cellStyle name="Normal 320" xfId="1500"/>
    <cellStyle name="Normal 321" xfId="1501"/>
    <cellStyle name="Normal 322" xfId="1502"/>
    <cellStyle name="Normal 323" xfId="1503"/>
    <cellStyle name="Normal 324" xfId="1504"/>
    <cellStyle name="Normal 325" xfId="1505"/>
    <cellStyle name="Normal 326" xfId="1506"/>
    <cellStyle name="Normal 327" xfId="1507"/>
    <cellStyle name="Normal 328" xfId="1508"/>
    <cellStyle name="Normal 329" xfId="1509"/>
    <cellStyle name="Normal 33" xfId="1510"/>
    <cellStyle name="Normal 33 2" xfId="1511"/>
    <cellStyle name="Normal 33 2 2" xfId="1512"/>
    <cellStyle name="Normal 33 2 3" xfId="1513"/>
    <cellStyle name="Normal 33 3" xfId="1514"/>
    <cellStyle name="Normal 33 3 2" xfId="1515"/>
    <cellStyle name="Normal 33 3 3" xfId="1516"/>
    <cellStyle name="Normal 33 4" xfId="1517"/>
    <cellStyle name="Normal 33 4 2" xfId="1518"/>
    <cellStyle name="Normal 33 4 3" xfId="1519"/>
    <cellStyle name="Normal 330" xfId="1520"/>
    <cellStyle name="Normal 331" xfId="1521"/>
    <cellStyle name="Normal 332" xfId="1522"/>
    <cellStyle name="Normal 333" xfId="1523"/>
    <cellStyle name="Normal 334" xfId="1524"/>
    <cellStyle name="Normal 335" xfId="1525"/>
    <cellStyle name="Normal 336" xfId="1526"/>
    <cellStyle name="Normal 34" xfId="1527"/>
    <cellStyle name="Normal 34 2" xfId="1528"/>
    <cellStyle name="Normal 34 2 2" xfId="1529"/>
    <cellStyle name="Normal 34 2 2 2" xfId="1530"/>
    <cellStyle name="Normal 34 2 2 3" xfId="1531"/>
    <cellStyle name="Normal 34 2 3" xfId="1532"/>
    <cellStyle name="Normal 34 3" xfId="1533"/>
    <cellStyle name="Normal 34 3 2" xfId="1534"/>
    <cellStyle name="Normal 34 3 3" xfId="1535"/>
    <cellStyle name="Normal 34 4" xfId="1536"/>
    <cellStyle name="Normal 34 4 2" xfId="1537"/>
    <cellStyle name="Normal 34 4 3" xfId="1538"/>
    <cellStyle name="Normal 34 5" xfId="1539"/>
    <cellStyle name="Normal 34 6" xfId="1540"/>
    <cellStyle name="Normal 35" xfId="1541"/>
    <cellStyle name="Normal 35 2" xfId="1542"/>
    <cellStyle name="Normal 35 2 2" xfId="1543"/>
    <cellStyle name="Normal 35 2 3" xfId="1544"/>
    <cellStyle name="Normal 35 3" xfId="1545"/>
    <cellStyle name="Normal 36" xfId="1546"/>
    <cellStyle name="Normal 36 2" xfId="1547"/>
    <cellStyle name="Normal 36 2 2" xfId="1548"/>
    <cellStyle name="Normal 36 2 3" xfId="1549"/>
    <cellStyle name="Normal 36 3" xfId="1550"/>
    <cellStyle name="Normal 37" xfId="1551"/>
    <cellStyle name="Normal 37 2" xfId="1552"/>
    <cellStyle name="Normal 37 2 2" xfId="1553"/>
    <cellStyle name="Normal 37 2 3" xfId="1554"/>
    <cellStyle name="Normal 37 3" xfId="1555"/>
    <cellStyle name="Normal 38" xfId="1556"/>
    <cellStyle name="Normal 38 2" xfId="1557"/>
    <cellStyle name="Normal 38 2 2" xfId="1558"/>
    <cellStyle name="Normal 38 2 3" xfId="1559"/>
    <cellStyle name="Normal 38 3" xfId="1560"/>
    <cellStyle name="Normal 39" xfId="1561"/>
    <cellStyle name="Normal 39 2" xfId="1562"/>
    <cellStyle name="Normal 39 2 2" xfId="1563"/>
    <cellStyle name="Normal 39 2 3" xfId="1564"/>
    <cellStyle name="Normal 39 3" xfId="1565"/>
    <cellStyle name="Normal 4" xfId="1566"/>
    <cellStyle name="Normal 4 10" xfId="1567"/>
    <cellStyle name="Normal 4 11" xfId="1568"/>
    <cellStyle name="Normal 4 12" xfId="1569"/>
    <cellStyle name="Normal 4 13" xfId="1570"/>
    <cellStyle name="Normal 4 14" xfId="1571"/>
    <cellStyle name="Normal 4 15" xfId="1572"/>
    <cellStyle name="Normal 4 16" xfId="1573"/>
    <cellStyle name="Normal 4 17" xfId="1574"/>
    <cellStyle name="Normal 4 2" xfId="1575"/>
    <cellStyle name="Normal 4 2 2" xfId="1576"/>
    <cellStyle name="Normal 4 2 3" xfId="1577"/>
    <cellStyle name="Normal 4 3" xfId="1578"/>
    <cellStyle name="Normal 4 4" xfId="1579"/>
    <cellStyle name="Normal 4 5" xfId="1580"/>
    <cellStyle name="Normal 4 6" xfId="1581"/>
    <cellStyle name="Normal 4 7" xfId="1582"/>
    <cellStyle name="Normal 4 8" xfId="1583"/>
    <cellStyle name="Normal 4 9" xfId="1584"/>
    <cellStyle name="Normal 40" xfId="1585"/>
    <cellStyle name="Normal 40 2" xfId="1586"/>
    <cellStyle name="Normal 40 2 2" xfId="1587"/>
    <cellStyle name="Normal 40 2 3" xfId="1588"/>
    <cellStyle name="Normal 40 3" xfId="1589"/>
    <cellStyle name="Normal 41" xfId="1590"/>
    <cellStyle name="Normal 41 2" xfId="1591"/>
    <cellStyle name="Normal 41 2 2" xfId="1592"/>
    <cellStyle name="Normal 41 2 3" xfId="1593"/>
    <cellStyle name="Normal 41 3" xfId="1594"/>
    <cellStyle name="Normal 42" xfId="1595"/>
    <cellStyle name="Normal 42 2" xfId="1596"/>
    <cellStyle name="Normal 43" xfId="1597"/>
    <cellStyle name="Normal 44" xfId="1598"/>
    <cellStyle name="Normal 44 2" xfId="1599"/>
    <cellStyle name="Normal 44 2 2" xfId="1600"/>
    <cellStyle name="Normal 44 2 3" xfId="1601"/>
    <cellStyle name="Normal 44 3" xfId="1602"/>
    <cellStyle name="Normal 45" xfId="1603"/>
    <cellStyle name="Normal 45 2" xfId="1604"/>
    <cellStyle name="Normal 45 2 2" xfId="1605"/>
    <cellStyle name="Normal 45 2 3" xfId="1606"/>
    <cellStyle name="Normal 45 3" xfId="1607"/>
    <cellStyle name="Normal 46" xfId="1608"/>
    <cellStyle name="Normal 46 2" xfId="1609"/>
    <cellStyle name="Normal 46 2 2" xfId="1610"/>
    <cellStyle name="Normal 46 2 3" xfId="1611"/>
    <cellStyle name="Normal 46 3" xfId="1612"/>
    <cellStyle name="Normal 47" xfId="1613"/>
    <cellStyle name="Normal 47 2" xfId="1614"/>
    <cellStyle name="Normal 47 2 2" xfId="1615"/>
    <cellStyle name="Normal 47 2 3" xfId="1616"/>
    <cellStyle name="Normal 47 3" xfId="1617"/>
    <cellStyle name="Normal 48" xfId="1618"/>
    <cellStyle name="Normal 48 2" xfId="1619"/>
    <cellStyle name="Normal 48 2 2" xfId="1620"/>
    <cellStyle name="Normal 48 2 3" xfId="1621"/>
    <cellStyle name="Normal 48 3" xfId="1622"/>
    <cellStyle name="Normal 49" xfId="1623"/>
    <cellStyle name="Normal 49 2" xfId="1624"/>
    <cellStyle name="Normal 49 2 2" xfId="1625"/>
    <cellStyle name="Normal 49 2 3" xfId="1626"/>
    <cellStyle name="Normal 49 3" xfId="1627"/>
    <cellStyle name="Normal 5" xfId="1628"/>
    <cellStyle name="Normal 5 10" xfId="1629"/>
    <cellStyle name="Normal 5 11" xfId="1630"/>
    <cellStyle name="Normal 5 12" xfId="1631"/>
    <cellStyle name="Normal 5 13" xfId="1632"/>
    <cellStyle name="Normal 5 14" xfId="1633"/>
    <cellStyle name="Normal 5 15" xfId="1634"/>
    <cellStyle name="Normal 5 16" xfId="1635"/>
    <cellStyle name="Normal 5 16 10" xfId="1636"/>
    <cellStyle name="Normal 5 16 10 2" xfId="1637"/>
    <cellStyle name="Normal 5 16 11" xfId="1638"/>
    <cellStyle name="Normal 5 16 12" xfId="1639"/>
    <cellStyle name="Normal 5 16 2" xfId="1640"/>
    <cellStyle name="Normal 5 16 2 10" xfId="1641"/>
    <cellStyle name="Normal 5 16 2 2" xfId="1642"/>
    <cellStyle name="Normal 5 16 2 2 2" xfId="1643"/>
    <cellStyle name="Normal 5 16 2 2 2 2" xfId="1644"/>
    <cellStyle name="Normal 5 16 2 2 2 3" xfId="1645"/>
    <cellStyle name="Normal 5 16 2 2 2 4" xfId="1646"/>
    <cellStyle name="Normal 5 16 2 2 2 5" xfId="1647"/>
    <cellStyle name="Normal 5 16 2 2 3" xfId="1648"/>
    <cellStyle name="Normal 5 16 2 2 3 2" xfId="1649"/>
    <cellStyle name="Normal 5 16 2 2 3 3" xfId="1650"/>
    <cellStyle name="Normal 5 16 2 2 3 4" xfId="1651"/>
    <cellStyle name="Normal 5 16 2 2 4" xfId="1652"/>
    <cellStyle name="Normal 5 16 2 2 4 2" xfId="1653"/>
    <cellStyle name="Normal 5 16 2 2 4 3" xfId="1654"/>
    <cellStyle name="Normal 5 16 2 2 4 4" xfId="1655"/>
    <cellStyle name="Normal 5 16 2 2 5" xfId="1656"/>
    <cellStyle name="Normal 5 16 2 2 5 2" xfId="1657"/>
    <cellStyle name="Normal 5 16 2 2 5 3" xfId="1658"/>
    <cellStyle name="Normal 5 16 2 2 5 4" xfId="1659"/>
    <cellStyle name="Normal 5 16 2 2 6" xfId="1660"/>
    <cellStyle name="Normal 5 16 2 2 6 2" xfId="1661"/>
    <cellStyle name="Normal 5 16 2 2 6 3" xfId="1662"/>
    <cellStyle name="Normal 5 16 2 2 7" xfId="1663"/>
    <cellStyle name="Normal 5 16 2 2 7 2" xfId="1664"/>
    <cellStyle name="Normal 5 16 2 2 8" xfId="1665"/>
    <cellStyle name="Normal 5 16 2 3" xfId="1666"/>
    <cellStyle name="Normal 5 16 2 3 2" xfId="1667"/>
    <cellStyle name="Normal 5 16 2 3 2 2" xfId="1668"/>
    <cellStyle name="Normal 5 16 2 3 2 3" xfId="1669"/>
    <cellStyle name="Normal 5 16 2 3 2 4" xfId="1670"/>
    <cellStyle name="Normal 5 16 2 3 3" xfId="1671"/>
    <cellStyle name="Normal 5 16 2 3 3 2" xfId="1672"/>
    <cellStyle name="Normal 5 16 2 3 3 3" xfId="1673"/>
    <cellStyle name="Normal 5 16 2 3 3 4" xfId="1674"/>
    <cellStyle name="Normal 5 16 2 3 4" xfId="1675"/>
    <cellStyle name="Normal 5 16 2 3 4 2" xfId="1676"/>
    <cellStyle name="Normal 5 16 2 3 4 3" xfId="1677"/>
    <cellStyle name="Normal 5 16 2 3 4 4" xfId="1678"/>
    <cellStyle name="Normal 5 16 2 3 5" xfId="1679"/>
    <cellStyle name="Normal 5 16 2 3 5 2" xfId="1680"/>
    <cellStyle name="Normal 5 16 2 3 5 3" xfId="1681"/>
    <cellStyle name="Normal 5 16 2 3 6" xfId="1682"/>
    <cellStyle name="Normal 5 16 2 3 6 2" xfId="1683"/>
    <cellStyle name="Normal 5 16 2 3 7" xfId="1684"/>
    <cellStyle name="Normal 5 16 2 4" xfId="1685"/>
    <cellStyle name="Normal 5 16 2 4 2" xfId="1686"/>
    <cellStyle name="Normal 5 16 2 4 2 2" xfId="1687"/>
    <cellStyle name="Normal 5 16 2 4 2 3" xfId="1688"/>
    <cellStyle name="Normal 5 16 2 4 3" xfId="1689"/>
    <cellStyle name="Normal 5 16 2 4 3 2" xfId="1690"/>
    <cellStyle name="Normal 5 16 2 4 4" xfId="1691"/>
    <cellStyle name="Normal 5 16 2 5" xfId="1692"/>
    <cellStyle name="Normal 5 16 2 5 2" xfId="1693"/>
    <cellStyle name="Normal 5 16 2 5 2 2" xfId="1694"/>
    <cellStyle name="Normal 5 16 2 5 3" xfId="1695"/>
    <cellStyle name="Normal 5 16 2 5 4" xfId="1696"/>
    <cellStyle name="Normal 5 16 2 6" xfId="1697"/>
    <cellStyle name="Normal 5 16 2 6 2" xfId="1698"/>
    <cellStyle name="Normal 5 16 2 6 3" xfId="1699"/>
    <cellStyle name="Normal 5 16 2 6 4" xfId="1700"/>
    <cellStyle name="Normal 5 16 2 7" xfId="1701"/>
    <cellStyle name="Normal 5 16 2 7 2" xfId="1702"/>
    <cellStyle name="Normal 5 16 2 7 3" xfId="1703"/>
    <cellStyle name="Normal 5 16 2 8" xfId="1704"/>
    <cellStyle name="Normal 5 16 2 8 2" xfId="1705"/>
    <cellStyle name="Normal 5 16 2 9" xfId="1706"/>
    <cellStyle name="Normal 5 16 3" xfId="1707"/>
    <cellStyle name="Normal 5 16 3 2" xfId="1708"/>
    <cellStyle name="Normal 5 16 3 2 2" xfId="1709"/>
    <cellStyle name="Normal 5 16 3 2 3" xfId="1710"/>
    <cellStyle name="Normal 5 16 3 2 4" xfId="1711"/>
    <cellStyle name="Normal 5 16 3 2 5" xfId="1712"/>
    <cellStyle name="Normal 5 16 3 3" xfId="1713"/>
    <cellStyle name="Normal 5 16 3 3 2" xfId="1714"/>
    <cellStyle name="Normal 5 16 3 3 3" xfId="1715"/>
    <cellStyle name="Normal 5 16 3 3 4" xfId="1716"/>
    <cellStyle name="Normal 5 16 3 4" xfId="1717"/>
    <cellStyle name="Normal 5 16 3 4 2" xfId="1718"/>
    <cellStyle name="Normal 5 16 3 4 3" xfId="1719"/>
    <cellStyle name="Normal 5 16 3 4 4" xfId="1720"/>
    <cellStyle name="Normal 5 16 3 5" xfId="1721"/>
    <cellStyle name="Normal 5 16 3 5 2" xfId="1722"/>
    <cellStyle name="Normal 5 16 3 5 3" xfId="1723"/>
    <cellStyle name="Normal 5 16 3 5 4" xfId="1724"/>
    <cellStyle name="Normal 5 16 3 6" xfId="1725"/>
    <cellStyle name="Normal 5 16 3 6 2" xfId="1726"/>
    <cellStyle name="Normal 5 16 3 6 3" xfId="1727"/>
    <cellStyle name="Normal 5 16 3 6 4" xfId="1728"/>
    <cellStyle name="Normal 5 16 3 7" xfId="1729"/>
    <cellStyle name="Normal 5 16 3 7 2" xfId="1730"/>
    <cellStyle name="Normal 5 16 3 7 3" xfId="1731"/>
    <cellStyle name="Normal 5 16 3 8" xfId="1732"/>
    <cellStyle name="Normal 5 16 3 8 2" xfId="1733"/>
    <cellStyle name="Normal 5 16 3 9" xfId="1734"/>
    <cellStyle name="Normal 5 16 4" xfId="1735"/>
    <cellStyle name="Normal 5 16 4 2" xfId="1736"/>
    <cellStyle name="Normal 5 16 4 2 2" xfId="1737"/>
    <cellStyle name="Normal 5 16 4 2 3" xfId="1738"/>
    <cellStyle name="Normal 5 16 4 2 4" xfId="1739"/>
    <cellStyle name="Normal 5 16 4 2 5" xfId="1740"/>
    <cellStyle name="Normal 5 16 4 3" xfId="1741"/>
    <cellStyle name="Normal 5 16 4 3 2" xfId="1742"/>
    <cellStyle name="Normal 5 16 4 3 3" xfId="1743"/>
    <cellStyle name="Normal 5 16 4 3 4" xfId="1744"/>
    <cellStyle name="Normal 5 16 4 4" xfId="1745"/>
    <cellStyle name="Normal 5 16 4 4 2" xfId="1746"/>
    <cellStyle name="Normal 5 16 4 4 3" xfId="1747"/>
    <cellStyle name="Normal 5 16 4 4 4" xfId="1748"/>
    <cellStyle name="Normal 5 16 4 5" xfId="1749"/>
    <cellStyle name="Normal 5 16 4 5 2" xfId="1750"/>
    <cellStyle name="Normal 5 16 4 5 3" xfId="1751"/>
    <cellStyle name="Normal 5 16 4 6" xfId="1752"/>
    <cellStyle name="Normal 5 16 4 6 2" xfId="1753"/>
    <cellStyle name="Normal 5 16 4 7" xfId="1754"/>
    <cellStyle name="Normal 5 16 5" xfId="1755"/>
    <cellStyle name="Normal 5 16 5 2" xfId="1756"/>
    <cellStyle name="Normal 5 16 5 2 2" xfId="1757"/>
    <cellStyle name="Normal 5 16 5 2 3" xfId="1758"/>
    <cellStyle name="Normal 5 16 5 3" xfId="1759"/>
    <cellStyle name="Normal 5 16 5 3 2" xfId="1760"/>
    <cellStyle name="Normal 5 16 5 4" xfId="1761"/>
    <cellStyle name="Normal 5 16 5 5" xfId="1762"/>
    <cellStyle name="Normal 5 16 6" xfId="1763"/>
    <cellStyle name="Normal 5 16 6 2" xfId="1764"/>
    <cellStyle name="Normal 5 16 6 2 2" xfId="1765"/>
    <cellStyle name="Normal 5 16 6 3" xfId="1766"/>
    <cellStyle name="Normal 5 16 6 4" xfId="1767"/>
    <cellStyle name="Normal 5 16 7" xfId="1768"/>
    <cellStyle name="Normal 5 16 7 2" xfId="1769"/>
    <cellStyle name="Normal 5 16 7 3" xfId="1770"/>
    <cellStyle name="Normal 5 16 7 4" xfId="1771"/>
    <cellStyle name="Normal 5 16 8" xfId="1772"/>
    <cellStyle name="Normal 5 16 8 2" xfId="1773"/>
    <cellStyle name="Normal 5 16 8 3" xfId="1774"/>
    <cellStyle name="Normal 5 16 8 4" xfId="1775"/>
    <cellStyle name="Normal 5 16 9" xfId="1776"/>
    <cellStyle name="Normal 5 16 9 2" xfId="1777"/>
    <cellStyle name="Normal 5 16 9 3" xfId="1778"/>
    <cellStyle name="Normal 5 2" xfId="1779"/>
    <cellStyle name="Normal 5 2 2" xfId="1780"/>
    <cellStyle name="Normal 5 2 2 2" xfId="1781"/>
    <cellStyle name="Normal 5 2 2 2 10" xfId="1782"/>
    <cellStyle name="Normal 5 2 2 2 10 2" xfId="1783"/>
    <cellStyle name="Normal 5 2 2 2 11" xfId="1784"/>
    <cellStyle name="Normal 5 2 2 2 12" xfId="1785"/>
    <cellStyle name="Normal 5 2 2 2 2" xfId="1786"/>
    <cellStyle name="Normal 5 2 2 2 2 10" xfId="1787"/>
    <cellStyle name="Normal 5 2 2 2 2 2" xfId="1788"/>
    <cellStyle name="Normal 5 2 2 2 2 2 2" xfId="1789"/>
    <cellStyle name="Normal 5 2 2 2 2 2 2 2" xfId="1790"/>
    <cellStyle name="Normal 5 2 2 2 2 2 2 3" xfId="1791"/>
    <cellStyle name="Normal 5 2 2 2 2 2 2 4" xfId="1792"/>
    <cellStyle name="Normal 5 2 2 2 2 2 2 5" xfId="1793"/>
    <cellStyle name="Normal 5 2 2 2 2 2 3" xfId="1794"/>
    <cellStyle name="Normal 5 2 2 2 2 2 3 2" xfId="1795"/>
    <cellStyle name="Normal 5 2 2 2 2 2 3 3" xfId="1796"/>
    <cellStyle name="Normal 5 2 2 2 2 2 3 4" xfId="1797"/>
    <cellStyle name="Normal 5 2 2 2 2 2 4" xfId="1798"/>
    <cellStyle name="Normal 5 2 2 2 2 2 4 2" xfId="1799"/>
    <cellStyle name="Normal 5 2 2 2 2 2 4 3" xfId="1800"/>
    <cellStyle name="Normal 5 2 2 2 2 2 4 4" xfId="1801"/>
    <cellStyle name="Normal 5 2 2 2 2 2 5" xfId="1802"/>
    <cellStyle name="Normal 5 2 2 2 2 2 5 2" xfId="1803"/>
    <cellStyle name="Normal 5 2 2 2 2 2 5 3" xfId="1804"/>
    <cellStyle name="Normal 5 2 2 2 2 2 5 4" xfId="1805"/>
    <cellStyle name="Normal 5 2 2 2 2 2 6" xfId="1806"/>
    <cellStyle name="Normal 5 2 2 2 2 2 6 2" xfId="1807"/>
    <cellStyle name="Normal 5 2 2 2 2 2 6 3" xfId="1808"/>
    <cellStyle name="Normal 5 2 2 2 2 2 7" xfId="1809"/>
    <cellStyle name="Normal 5 2 2 2 2 2 7 2" xfId="1810"/>
    <cellStyle name="Normal 5 2 2 2 2 2 8" xfId="1811"/>
    <cellStyle name="Normal 5 2 2 2 2 3" xfId="1812"/>
    <cellStyle name="Normal 5 2 2 2 2 3 2" xfId="1813"/>
    <cellStyle name="Normal 5 2 2 2 2 3 2 2" xfId="1814"/>
    <cellStyle name="Normal 5 2 2 2 2 3 2 3" xfId="1815"/>
    <cellStyle name="Normal 5 2 2 2 2 3 2 4" xfId="1816"/>
    <cellStyle name="Normal 5 2 2 2 2 3 3" xfId="1817"/>
    <cellStyle name="Normal 5 2 2 2 2 3 3 2" xfId="1818"/>
    <cellStyle name="Normal 5 2 2 2 2 3 3 3" xfId="1819"/>
    <cellStyle name="Normal 5 2 2 2 2 3 3 4" xfId="1820"/>
    <cellStyle name="Normal 5 2 2 2 2 3 4" xfId="1821"/>
    <cellStyle name="Normal 5 2 2 2 2 3 4 2" xfId="1822"/>
    <cellStyle name="Normal 5 2 2 2 2 3 4 3" xfId="1823"/>
    <cellStyle name="Normal 5 2 2 2 2 3 4 4" xfId="1824"/>
    <cellStyle name="Normal 5 2 2 2 2 3 5" xfId="1825"/>
    <cellStyle name="Normal 5 2 2 2 2 3 5 2" xfId="1826"/>
    <cellStyle name="Normal 5 2 2 2 2 3 5 3" xfId="1827"/>
    <cellStyle name="Normal 5 2 2 2 2 3 6" xfId="1828"/>
    <cellStyle name="Normal 5 2 2 2 2 3 6 2" xfId="1829"/>
    <cellStyle name="Normal 5 2 2 2 2 3 7" xfId="1830"/>
    <cellStyle name="Normal 5 2 2 2 2 4" xfId="1831"/>
    <cellStyle name="Normal 5 2 2 2 2 4 2" xfId="1832"/>
    <cellStyle name="Normal 5 2 2 2 2 4 2 2" xfId="1833"/>
    <cellStyle name="Normal 5 2 2 2 2 4 2 3" xfId="1834"/>
    <cellStyle name="Normal 5 2 2 2 2 4 3" xfId="1835"/>
    <cellStyle name="Normal 5 2 2 2 2 4 3 2" xfId="1836"/>
    <cellStyle name="Normal 5 2 2 2 2 4 4" xfId="1837"/>
    <cellStyle name="Normal 5 2 2 2 2 5" xfId="1838"/>
    <cellStyle name="Normal 5 2 2 2 2 5 2" xfId="1839"/>
    <cellStyle name="Normal 5 2 2 2 2 5 2 2" xfId="1840"/>
    <cellStyle name="Normal 5 2 2 2 2 5 3" xfId="1841"/>
    <cellStyle name="Normal 5 2 2 2 2 5 4" xfId="1842"/>
    <cellStyle name="Normal 5 2 2 2 2 6" xfId="1843"/>
    <cellStyle name="Normal 5 2 2 2 2 6 2" xfId="1844"/>
    <cellStyle name="Normal 5 2 2 2 2 6 3" xfId="1845"/>
    <cellStyle name="Normal 5 2 2 2 2 6 4" xfId="1846"/>
    <cellStyle name="Normal 5 2 2 2 2 7" xfId="1847"/>
    <cellStyle name="Normal 5 2 2 2 2 7 2" xfId="1848"/>
    <cellStyle name="Normal 5 2 2 2 2 7 3" xfId="1849"/>
    <cellStyle name="Normal 5 2 2 2 2 8" xfId="1850"/>
    <cellStyle name="Normal 5 2 2 2 2 8 2" xfId="1851"/>
    <cellStyle name="Normal 5 2 2 2 2 9" xfId="1852"/>
    <cellStyle name="Normal 5 2 2 2 3" xfId="1853"/>
    <cellStyle name="Normal 5 2 2 2 3 2" xfId="1854"/>
    <cellStyle name="Normal 5 2 2 2 3 2 2" xfId="1855"/>
    <cellStyle name="Normal 5 2 2 2 3 2 3" xfId="1856"/>
    <cellStyle name="Normal 5 2 2 2 3 2 4" xfId="1857"/>
    <cellStyle name="Normal 5 2 2 2 3 2 5" xfId="1858"/>
    <cellStyle name="Normal 5 2 2 2 3 3" xfId="1859"/>
    <cellStyle name="Normal 5 2 2 2 3 3 2" xfId="1860"/>
    <cellStyle name="Normal 5 2 2 2 3 3 3" xfId="1861"/>
    <cellStyle name="Normal 5 2 2 2 3 3 4" xfId="1862"/>
    <cellStyle name="Normal 5 2 2 2 3 4" xfId="1863"/>
    <cellStyle name="Normal 5 2 2 2 3 4 2" xfId="1864"/>
    <cellStyle name="Normal 5 2 2 2 3 4 3" xfId="1865"/>
    <cellStyle name="Normal 5 2 2 2 3 4 4" xfId="1866"/>
    <cellStyle name="Normal 5 2 2 2 3 5" xfId="1867"/>
    <cellStyle name="Normal 5 2 2 2 3 5 2" xfId="1868"/>
    <cellStyle name="Normal 5 2 2 2 3 5 3" xfId="1869"/>
    <cellStyle name="Normal 5 2 2 2 3 5 4" xfId="1870"/>
    <cellStyle name="Normal 5 2 2 2 3 6" xfId="1871"/>
    <cellStyle name="Normal 5 2 2 2 3 6 2" xfId="1872"/>
    <cellStyle name="Normal 5 2 2 2 3 6 3" xfId="1873"/>
    <cellStyle name="Normal 5 2 2 2 3 6 4" xfId="1874"/>
    <cellStyle name="Normal 5 2 2 2 3 7" xfId="1875"/>
    <cellStyle name="Normal 5 2 2 2 3 7 2" xfId="1876"/>
    <cellStyle name="Normal 5 2 2 2 3 7 3" xfId="1877"/>
    <cellStyle name="Normal 5 2 2 2 3 8" xfId="1878"/>
    <cellStyle name="Normal 5 2 2 2 3 8 2" xfId="1879"/>
    <cellStyle name="Normal 5 2 2 2 3 9" xfId="1880"/>
    <cellStyle name="Normal 5 2 2 2 4" xfId="1881"/>
    <cellStyle name="Normal 5 2 2 2 4 2" xfId="1882"/>
    <cellStyle name="Normal 5 2 2 2 4 2 2" xfId="1883"/>
    <cellStyle name="Normal 5 2 2 2 4 2 3" xfId="1884"/>
    <cellStyle name="Normal 5 2 2 2 4 2 4" xfId="1885"/>
    <cellStyle name="Normal 5 2 2 2 4 2 5" xfId="1886"/>
    <cellStyle name="Normal 5 2 2 2 4 3" xfId="1887"/>
    <cellStyle name="Normal 5 2 2 2 4 3 2" xfId="1888"/>
    <cellStyle name="Normal 5 2 2 2 4 3 3" xfId="1889"/>
    <cellStyle name="Normal 5 2 2 2 4 3 4" xfId="1890"/>
    <cellStyle name="Normal 5 2 2 2 4 4" xfId="1891"/>
    <cellStyle name="Normal 5 2 2 2 4 4 2" xfId="1892"/>
    <cellStyle name="Normal 5 2 2 2 4 4 3" xfId="1893"/>
    <cellStyle name="Normal 5 2 2 2 4 4 4" xfId="1894"/>
    <cellStyle name="Normal 5 2 2 2 4 5" xfId="1895"/>
    <cellStyle name="Normal 5 2 2 2 4 5 2" xfId="1896"/>
    <cellStyle name="Normal 5 2 2 2 4 5 3" xfId="1897"/>
    <cellStyle name="Normal 5 2 2 2 4 6" xfId="1898"/>
    <cellStyle name="Normal 5 2 2 2 4 6 2" xfId="1899"/>
    <cellStyle name="Normal 5 2 2 2 4 7" xfId="1900"/>
    <cellStyle name="Normal 5 2 2 2 5" xfId="1901"/>
    <cellStyle name="Normal 5 2 2 2 5 2" xfId="1902"/>
    <cellStyle name="Normal 5 2 2 2 5 2 2" xfId="1903"/>
    <cellStyle name="Normal 5 2 2 2 5 2 3" xfId="1904"/>
    <cellStyle name="Normal 5 2 2 2 5 3" xfId="1905"/>
    <cellStyle name="Normal 5 2 2 2 5 3 2" xfId="1906"/>
    <cellStyle name="Normal 5 2 2 2 5 4" xfId="1907"/>
    <cellStyle name="Normal 5 2 2 2 5 5" xfId="1908"/>
    <cellStyle name="Normal 5 2 2 2 6" xfId="1909"/>
    <cellStyle name="Normal 5 2 2 2 6 2" xfId="1910"/>
    <cellStyle name="Normal 5 2 2 2 6 2 2" xfId="1911"/>
    <cellStyle name="Normal 5 2 2 2 6 3" xfId="1912"/>
    <cellStyle name="Normal 5 2 2 2 6 4" xfId="1913"/>
    <cellStyle name="Normal 5 2 2 2 7" xfId="1914"/>
    <cellStyle name="Normal 5 2 2 2 7 2" xfId="1915"/>
    <cellStyle name="Normal 5 2 2 2 7 3" xfId="1916"/>
    <cellStyle name="Normal 5 2 2 2 7 4" xfId="1917"/>
    <cellStyle name="Normal 5 2 2 2 8" xfId="1918"/>
    <cellStyle name="Normal 5 2 2 2 8 2" xfId="1919"/>
    <cellStyle name="Normal 5 2 2 2 8 3" xfId="1920"/>
    <cellStyle name="Normal 5 2 2 2 8 4" xfId="1921"/>
    <cellStyle name="Normal 5 2 2 2 9" xfId="1922"/>
    <cellStyle name="Normal 5 2 2 2 9 2" xfId="1923"/>
    <cellStyle name="Normal 5 2 2 2 9 3" xfId="1924"/>
    <cellStyle name="Normal 5 2 2 3" xfId="1925"/>
    <cellStyle name="Normal 5 2 2 3 10" xfId="1926"/>
    <cellStyle name="Normal 5 2 2 3 10 2" xfId="1927"/>
    <cellStyle name="Normal 5 2 2 3 11" xfId="1928"/>
    <cellStyle name="Normal 5 2 2 3 12" xfId="1929"/>
    <cellStyle name="Normal 5 2 2 3 2" xfId="1930"/>
    <cellStyle name="Normal 5 2 2 3 2 10" xfId="1931"/>
    <cellStyle name="Normal 5 2 2 3 2 2" xfId="1932"/>
    <cellStyle name="Normal 5 2 2 3 2 2 2" xfId="1933"/>
    <cellStyle name="Normal 5 2 2 3 2 2 2 2" xfId="1934"/>
    <cellStyle name="Normal 5 2 2 3 2 2 2 3" xfId="1935"/>
    <cellStyle name="Normal 5 2 2 3 2 2 2 4" xfId="1936"/>
    <cellStyle name="Normal 5 2 2 3 2 2 2 5" xfId="1937"/>
    <cellStyle name="Normal 5 2 2 3 2 2 3" xfId="1938"/>
    <cellStyle name="Normal 5 2 2 3 2 2 3 2" xfId="1939"/>
    <cellStyle name="Normal 5 2 2 3 2 2 3 3" xfId="1940"/>
    <cellStyle name="Normal 5 2 2 3 2 2 3 4" xfId="1941"/>
    <cellStyle name="Normal 5 2 2 3 2 2 4" xfId="1942"/>
    <cellStyle name="Normal 5 2 2 3 2 2 4 2" xfId="1943"/>
    <cellStyle name="Normal 5 2 2 3 2 2 4 3" xfId="1944"/>
    <cellStyle name="Normal 5 2 2 3 2 2 4 4" xfId="1945"/>
    <cellStyle name="Normal 5 2 2 3 2 2 5" xfId="1946"/>
    <cellStyle name="Normal 5 2 2 3 2 2 5 2" xfId="1947"/>
    <cellStyle name="Normal 5 2 2 3 2 2 5 3" xfId="1948"/>
    <cellStyle name="Normal 5 2 2 3 2 2 5 4" xfId="1949"/>
    <cellStyle name="Normal 5 2 2 3 2 2 6" xfId="1950"/>
    <cellStyle name="Normal 5 2 2 3 2 2 6 2" xfId="1951"/>
    <cellStyle name="Normal 5 2 2 3 2 2 6 3" xfId="1952"/>
    <cellStyle name="Normal 5 2 2 3 2 2 7" xfId="1953"/>
    <cellStyle name="Normal 5 2 2 3 2 2 7 2" xfId="1954"/>
    <cellStyle name="Normal 5 2 2 3 2 2 8" xfId="1955"/>
    <cellStyle name="Normal 5 2 2 3 2 3" xfId="1956"/>
    <cellStyle name="Normal 5 2 2 3 2 3 2" xfId="1957"/>
    <cellStyle name="Normal 5 2 2 3 2 3 2 2" xfId="1958"/>
    <cellStyle name="Normal 5 2 2 3 2 3 2 3" xfId="1959"/>
    <cellStyle name="Normal 5 2 2 3 2 3 2 4" xfId="1960"/>
    <cellStyle name="Normal 5 2 2 3 2 3 3" xfId="1961"/>
    <cellStyle name="Normal 5 2 2 3 2 3 3 2" xfId="1962"/>
    <cellStyle name="Normal 5 2 2 3 2 3 3 3" xfId="1963"/>
    <cellStyle name="Normal 5 2 2 3 2 3 3 4" xfId="1964"/>
    <cellStyle name="Normal 5 2 2 3 2 3 4" xfId="1965"/>
    <cellStyle name="Normal 5 2 2 3 2 3 4 2" xfId="1966"/>
    <cellStyle name="Normal 5 2 2 3 2 3 4 3" xfId="1967"/>
    <cellStyle name="Normal 5 2 2 3 2 3 4 4" xfId="1968"/>
    <cellStyle name="Normal 5 2 2 3 2 3 5" xfId="1969"/>
    <cellStyle name="Normal 5 2 2 3 2 3 5 2" xfId="1970"/>
    <cellStyle name="Normal 5 2 2 3 2 3 5 3" xfId="1971"/>
    <cellStyle name="Normal 5 2 2 3 2 3 6" xfId="1972"/>
    <cellStyle name="Normal 5 2 2 3 2 3 6 2" xfId="1973"/>
    <cellStyle name="Normal 5 2 2 3 2 3 7" xfId="1974"/>
    <cellStyle name="Normal 5 2 2 3 2 4" xfId="1975"/>
    <cellStyle name="Normal 5 2 2 3 2 4 2" xfId="1976"/>
    <cellStyle name="Normal 5 2 2 3 2 4 2 2" xfId="1977"/>
    <cellStyle name="Normal 5 2 2 3 2 4 2 3" xfId="1978"/>
    <cellStyle name="Normal 5 2 2 3 2 4 3" xfId="1979"/>
    <cellStyle name="Normal 5 2 2 3 2 4 3 2" xfId="1980"/>
    <cellStyle name="Normal 5 2 2 3 2 4 4" xfId="1981"/>
    <cellStyle name="Normal 5 2 2 3 2 5" xfId="1982"/>
    <cellStyle name="Normal 5 2 2 3 2 5 2" xfId="1983"/>
    <cellStyle name="Normal 5 2 2 3 2 5 2 2" xfId="1984"/>
    <cellStyle name="Normal 5 2 2 3 2 5 3" xfId="1985"/>
    <cellStyle name="Normal 5 2 2 3 2 5 4" xfId="1986"/>
    <cellStyle name="Normal 5 2 2 3 2 6" xfId="1987"/>
    <cellStyle name="Normal 5 2 2 3 2 6 2" xfId="1988"/>
    <cellStyle name="Normal 5 2 2 3 2 6 3" xfId="1989"/>
    <cellStyle name="Normal 5 2 2 3 2 6 4" xfId="1990"/>
    <cellStyle name="Normal 5 2 2 3 2 7" xfId="1991"/>
    <cellStyle name="Normal 5 2 2 3 2 7 2" xfId="1992"/>
    <cellStyle name="Normal 5 2 2 3 2 7 3" xfId="1993"/>
    <cellStyle name="Normal 5 2 2 3 2 8" xfId="1994"/>
    <cellStyle name="Normal 5 2 2 3 2 8 2" xfId="1995"/>
    <cellStyle name="Normal 5 2 2 3 2 9" xfId="1996"/>
    <cellStyle name="Normal 5 2 2 3 3" xfId="1997"/>
    <cellStyle name="Normal 5 2 2 3 3 2" xfId="1998"/>
    <cellStyle name="Normal 5 2 2 3 3 2 2" xfId="1999"/>
    <cellStyle name="Normal 5 2 2 3 3 2 3" xfId="2000"/>
    <cellStyle name="Normal 5 2 2 3 3 2 4" xfId="2001"/>
    <cellStyle name="Normal 5 2 2 3 3 2 5" xfId="2002"/>
    <cellStyle name="Normal 5 2 2 3 3 3" xfId="2003"/>
    <cellStyle name="Normal 5 2 2 3 3 3 2" xfId="2004"/>
    <cellStyle name="Normal 5 2 2 3 3 3 3" xfId="2005"/>
    <cellStyle name="Normal 5 2 2 3 3 3 4" xfId="2006"/>
    <cellStyle name="Normal 5 2 2 3 3 4" xfId="2007"/>
    <cellStyle name="Normal 5 2 2 3 3 4 2" xfId="2008"/>
    <cellStyle name="Normal 5 2 2 3 3 4 3" xfId="2009"/>
    <cellStyle name="Normal 5 2 2 3 3 4 4" xfId="2010"/>
    <cellStyle name="Normal 5 2 2 3 3 5" xfId="2011"/>
    <cellStyle name="Normal 5 2 2 3 3 5 2" xfId="2012"/>
    <cellStyle name="Normal 5 2 2 3 3 5 3" xfId="2013"/>
    <cellStyle name="Normal 5 2 2 3 3 5 4" xfId="2014"/>
    <cellStyle name="Normal 5 2 2 3 3 6" xfId="2015"/>
    <cellStyle name="Normal 5 2 2 3 3 6 2" xfId="2016"/>
    <cellStyle name="Normal 5 2 2 3 3 6 3" xfId="2017"/>
    <cellStyle name="Normal 5 2 2 3 3 6 4" xfId="2018"/>
    <cellStyle name="Normal 5 2 2 3 3 7" xfId="2019"/>
    <cellStyle name="Normal 5 2 2 3 3 7 2" xfId="2020"/>
    <cellStyle name="Normal 5 2 2 3 3 7 3" xfId="2021"/>
    <cellStyle name="Normal 5 2 2 3 3 8" xfId="2022"/>
    <cellStyle name="Normal 5 2 2 3 3 8 2" xfId="2023"/>
    <cellStyle name="Normal 5 2 2 3 3 9" xfId="2024"/>
    <cellStyle name="Normal 5 2 2 3 4" xfId="2025"/>
    <cellStyle name="Normal 5 2 2 3 4 2" xfId="2026"/>
    <cellStyle name="Normal 5 2 2 3 4 2 2" xfId="2027"/>
    <cellStyle name="Normal 5 2 2 3 4 2 3" xfId="2028"/>
    <cellStyle name="Normal 5 2 2 3 4 2 4" xfId="2029"/>
    <cellStyle name="Normal 5 2 2 3 4 2 5" xfId="2030"/>
    <cellStyle name="Normal 5 2 2 3 4 3" xfId="2031"/>
    <cellStyle name="Normal 5 2 2 3 4 3 2" xfId="2032"/>
    <cellStyle name="Normal 5 2 2 3 4 3 3" xfId="2033"/>
    <cellStyle name="Normal 5 2 2 3 4 3 4" xfId="2034"/>
    <cellStyle name="Normal 5 2 2 3 4 4" xfId="2035"/>
    <cellStyle name="Normal 5 2 2 3 4 4 2" xfId="2036"/>
    <cellStyle name="Normal 5 2 2 3 4 4 3" xfId="2037"/>
    <cellStyle name="Normal 5 2 2 3 4 4 4" xfId="2038"/>
    <cellStyle name="Normal 5 2 2 3 4 5" xfId="2039"/>
    <cellStyle name="Normal 5 2 2 3 4 5 2" xfId="2040"/>
    <cellStyle name="Normal 5 2 2 3 4 5 3" xfId="2041"/>
    <cellStyle name="Normal 5 2 2 3 4 6" xfId="2042"/>
    <cellStyle name="Normal 5 2 2 3 4 6 2" xfId="2043"/>
    <cellStyle name="Normal 5 2 2 3 4 7" xfId="2044"/>
    <cellStyle name="Normal 5 2 2 3 5" xfId="2045"/>
    <cellStyle name="Normal 5 2 2 3 5 2" xfId="2046"/>
    <cellStyle name="Normal 5 2 2 3 5 2 2" xfId="2047"/>
    <cellStyle name="Normal 5 2 2 3 5 2 3" xfId="2048"/>
    <cellStyle name="Normal 5 2 2 3 5 3" xfId="2049"/>
    <cellStyle name="Normal 5 2 2 3 5 3 2" xfId="2050"/>
    <cellStyle name="Normal 5 2 2 3 5 4" xfId="2051"/>
    <cellStyle name="Normal 5 2 2 3 5 5" xfId="2052"/>
    <cellStyle name="Normal 5 2 2 3 6" xfId="2053"/>
    <cellStyle name="Normal 5 2 2 3 6 2" xfId="2054"/>
    <cellStyle name="Normal 5 2 2 3 6 2 2" xfId="2055"/>
    <cellStyle name="Normal 5 2 2 3 6 3" xfId="2056"/>
    <cellStyle name="Normal 5 2 2 3 6 4" xfId="2057"/>
    <cellStyle name="Normal 5 2 2 3 7" xfId="2058"/>
    <cellStyle name="Normal 5 2 2 3 7 2" xfId="2059"/>
    <cellStyle name="Normal 5 2 2 3 7 3" xfId="2060"/>
    <cellStyle name="Normal 5 2 2 3 7 4" xfId="2061"/>
    <cellStyle name="Normal 5 2 2 3 8" xfId="2062"/>
    <cellStyle name="Normal 5 2 2 3 8 2" xfId="2063"/>
    <cellStyle name="Normal 5 2 2 3 8 3" xfId="2064"/>
    <cellStyle name="Normal 5 2 2 3 8 4" xfId="2065"/>
    <cellStyle name="Normal 5 2 2 3 9" xfId="2066"/>
    <cellStyle name="Normal 5 2 2 3 9 2" xfId="2067"/>
    <cellStyle name="Normal 5 2 2 3 9 3" xfId="2068"/>
    <cellStyle name="Normal 5 2 3" xfId="2069"/>
    <cellStyle name="Normal 5 2 3 10" xfId="2070"/>
    <cellStyle name="Normal 5 2 3 10 2" xfId="2071"/>
    <cellStyle name="Normal 5 2 3 11" xfId="2072"/>
    <cellStyle name="Normal 5 2 3 12" xfId="2073"/>
    <cellStyle name="Normal 5 2 3 2" xfId="2074"/>
    <cellStyle name="Normal 5 2 3 2 10" xfId="2075"/>
    <cellStyle name="Normal 5 2 3 2 2" xfId="2076"/>
    <cellStyle name="Normal 5 2 3 2 2 2" xfId="2077"/>
    <cellStyle name="Normal 5 2 3 2 2 2 2" xfId="2078"/>
    <cellStyle name="Normal 5 2 3 2 2 2 3" xfId="2079"/>
    <cellStyle name="Normal 5 2 3 2 2 2 4" xfId="2080"/>
    <cellStyle name="Normal 5 2 3 2 2 2 5" xfId="2081"/>
    <cellStyle name="Normal 5 2 3 2 2 3" xfId="2082"/>
    <cellStyle name="Normal 5 2 3 2 2 3 2" xfId="2083"/>
    <cellStyle name="Normal 5 2 3 2 2 3 3" xfId="2084"/>
    <cellStyle name="Normal 5 2 3 2 2 3 4" xfId="2085"/>
    <cellStyle name="Normal 5 2 3 2 2 4" xfId="2086"/>
    <cellStyle name="Normal 5 2 3 2 2 4 2" xfId="2087"/>
    <cellStyle name="Normal 5 2 3 2 2 4 3" xfId="2088"/>
    <cellStyle name="Normal 5 2 3 2 2 4 4" xfId="2089"/>
    <cellStyle name="Normal 5 2 3 2 2 5" xfId="2090"/>
    <cellStyle name="Normal 5 2 3 2 2 5 2" xfId="2091"/>
    <cellStyle name="Normal 5 2 3 2 2 5 3" xfId="2092"/>
    <cellStyle name="Normal 5 2 3 2 2 5 4" xfId="2093"/>
    <cellStyle name="Normal 5 2 3 2 2 6" xfId="2094"/>
    <cellStyle name="Normal 5 2 3 2 2 6 2" xfId="2095"/>
    <cellStyle name="Normal 5 2 3 2 2 6 3" xfId="2096"/>
    <cellStyle name="Normal 5 2 3 2 2 7" xfId="2097"/>
    <cellStyle name="Normal 5 2 3 2 2 7 2" xfId="2098"/>
    <cellStyle name="Normal 5 2 3 2 2 8" xfId="2099"/>
    <cellStyle name="Normal 5 2 3 2 3" xfId="2100"/>
    <cellStyle name="Normal 5 2 3 2 3 2" xfId="2101"/>
    <cellStyle name="Normal 5 2 3 2 3 2 2" xfId="2102"/>
    <cellStyle name="Normal 5 2 3 2 3 2 3" xfId="2103"/>
    <cellStyle name="Normal 5 2 3 2 3 2 4" xfId="2104"/>
    <cellStyle name="Normal 5 2 3 2 3 3" xfId="2105"/>
    <cellStyle name="Normal 5 2 3 2 3 3 2" xfId="2106"/>
    <cellStyle name="Normal 5 2 3 2 3 3 3" xfId="2107"/>
    <cellStyle name="Normal 5 2 3 2 3 3 4" xfId="2108"/>
    <cellStyle name="Normal 5 2 3 2 3 4" xfId="2109"/>
    <cellStyle name="Normal 5 2 3 2 3 4 2" xfId="2110"/>
    <cellStyle name="Normal 5 2 3 2 3 4 3" xfId="2111"/>
    <cellStyle name="Normal 5 2 3 2 3 4 4" xfId="2112"/>
    <cellStyle name="Normal 5 2 3 2 3 5" xfId="2113"/>
    <cellStyle name="Normal 5 2 3 2 3 5 2" xfId="2114"/>
    <cellStyle name="Normal 5 2 3 2 3 5 3" xfId="2115"/>
    <cellStyle name="Normal 5 2 3 2 3 6" xfId="2116"/>
    <cellStyle name="Normal 5 2 3 2 3 6 2" xfId="2117"/>
    <cellStyle name="Normal 5 2 3 2 3 7" xfId="2118"/>
    <cellStyle name="Normal 5 2 3 2 4" xfId="2119"/>
    <cellStyle name="Normal 5 2 3 2 4 2" xfId="2120"/>
    <cellStyle name="Normal 5 2 3 2 4 2 2" xfId="2121"/>
    <cellStyle name="Normal 5 2 3 2 4 2 3" xfId="2122"/>
    <cellStyle name="Normal 5 2 3 2 4 3" xfId="2123"/>
    <cellStyle name="Normal 5 2 3 2 4 3 2" xfId="2124"/>
    <cellStyle name="Normal 5 2 3 2 4 4" xfId="2125"/>
    <cellStyle name="Normal 5 2 3 2 5" xfId="2126"/>
    <cellStyle name="Normal 5 2 3 2 5 2" xfId="2127"/>
    <cellStyle name="Normal 5 2 3 2 5 2 2" xfId="2128"/>
    <cellStyle name="Normal 5 2 3 2 5 3" xfId="2129"/>
    <cellStyle name="Normal 5 2 3 2 5 4" xfId="2130"/>
    <cellStyle name="Normal 5 2 3 2 6" xfId="2131"/>
    <cellStyle name="Normal 5 2 3 2 6 2" xfId="2132"/>
    <cellStyle name="Normal 5 2 3 2 6 3" xfId="2133"/>
    <cellStyle name="Normal 5 2 3 2 6 4" xfId="2134"/>
    <cellStyle name="Normal 5 2 3 2 7" xfId="2135"/>
    <cellStyle name="Normal 5 2 3 2 7 2" xfId="2136"/>
    <cellStyle name="Normal 5 2 3 2 7 3" xfId="2137"/>
    <cellStyle name="Normal 5 2 3 2 8" xfId="2138"/>
    <cellStyle name="Normal 5 2 3 2 8 2" xfId="2139"/>
    <cellStyle name="Normal 5 2 3 2 9" xfId="2140"/>
    <cellStyle name="Normal 5 2 3 3" xfId="2141"/>
    <cellStyle name="Normal 5 2 3 3 2" xfId="2142"/>
    <cellStyle name="Normal 5 2 3 3 2 2" xfId="2143"/>
    <cellStyle name="Normal 5 2 3 3 2 3" xfId="2144"/>
    <cellStyle name="Normal 5 2 3 3 2 4" xfId="2145"/>
    <cellStyle name="Normal 5 2 3 3 2 5" xfId="2146"/>
    <cellStyle name="Normal 5 2 3 3 3" xfId="2147"/>
    <cellStyle name="Normal 5 2 3 3 3 2" xfId="2148"/>
    <cellStyle name="Normal 5 2 3 3 3 3" xfId="2149"/>
    <cellStyle name="Normal 5 2 3 3 3 4" xfId="2150"/>
    <cellStyle name="Normal 5 2 3 3 4" xfId="2151"/>
    <cellStyle name="Normal 5 2 3 3 4 2" xfId="2152"/>
    <cellStyle name="Normal 5 2 3 3 4 3" xfId="2153"/>
    <cellStyle name="Normal 5 2 3 3 4 4" xfId="2154"/>
    <cellStyle name="Normal 5 2 3 3 5" xfId="2155"/>
    <cellStyle name="Normal 5 2 3 3 5 2" xfId="2156"/>
    <cellStyle name="Normal 5 2 3 3 5 3" xfId="2157"/>
    <cellStyle name="Normal 5 2 3 3 5 4" xfId="2158"/>
    <cellStyle name="Normal 5 2 3 3 6" xfId="2159"/>
    <cellStyle name="Normal 5 2 3 3 6 2" xfId="2160"/>
    <cellStyle name="Normal 5 2 3 3 6 3" xfId="2161"/>
    <cellStyle name="Normal 5 2 3 3 6 4" xfId="2162"/>
    <cellStyle name="Normal 5 2 3 3 7" xfId="2163"/>
    <cellStyle name="Normal 5 2 3 3 7 2" xfId="2164"/>
    <cellStyle name="Normal 5 2 3 3 7 3" xfId="2165"/>
    <cellStyle name="Normal 5 2 3 3 8" xfId="2166"/>
    <cellStyle name="Normal 5 2 3 3 8 2" xfId="2167"/>
    <cellStyle name="Normal 5 2 3 3 9" xfId="2168"/>
    <cellStyle name="Normal 5 2 3 4" xfId="2169"/>
    <cellStyle name="Normal 5 2 3 4 2" xfId="2170"/>
    <cellStyle name="Normal 5 2 3 4 2 2" xfId="2171"/>
    <cellStyle name="Normal 5 2 3 4 2 3" xfId="2172"/>
    <cellStyle name="Normal 5 2 3 4 2 4" xfId="2173"/>
    <cellStyle name="Normal 5 2 3 4 2 5" xfId="2174"/>
    <cellStyle name="Normal 5 2 3 4 3" xfId="2175"/>
    <cellStyle name="Normal 5 2 3 4 3 2" xfId="2176"/>
    <cellStyle name="Normal 5 2 3 4 3 3" xfId="2177"/>
    <cellStyle name="Normal 5 2 3 4 3 4" xfId="2178"/>
    <cellStyle name="Normal 5 2 3 4 4" xfId="2179"/>
    <cellStyle name="Normal 5 2 3 4 4 2" xfId="2180"/>
    <cellStyle name="Normal 5 2 3 4 4 3" xfId="2181"/>
    <cellStyle name="Normal 5 2 3 4 4 4" xfId="2182"/>
    <cellStyle name="Normal 5 2 3 4 5" xfId="2183"/>
    <cellStyle name="Normal 5 2 3 4 5 2" xfId="2184"/>
    <cellStyle name="Normal 5 2 3 4 5 3" xfId="2185"/>
    <cellStyle name="Normal 5 2 3 4 6" xfId="2186"/>
    <cellStyle name="Normal 5 2 3 4 6 2" xfId="2187"/>
    <cellStyle name="Normal 5 2 3 4 7" xfId="2188"/>
    <cellStyle name="Normal 5 2 3 5" xfId="2189"/>
    <cellStyle name="Normal 5 2 3 5 2" xfId="2190"/>
    <cellStyle name="Normal 5 2 3 5 2 2" xfId="2191"/>
    <cellStyle name="Normal 5 2 3 5 2 3" xfId="2192"/>
    <cellStyle name="Normal 5 2 3 5 3" xfId="2193"/>
    <cellStyle name="Normal 5 2 3 5 3 2" xfId="2194"/>
    <cellStyle name="Normal 5 2 3 5 4" xfId="2195"/>
    <cellStyle name="Normal 5 2 3 5 5" xfId="2196"/>
    <cellStyle name="Normal 5 2 3 6" xfId="2197"/>
    <cellStyle name="Normal 5 2 3 6 2" xfId="2198"/>
    <cellStyle name="Normal 5 2 3 6 2 2" xfId="2199"/>
    <cellStyle name="Normal 5 2 3 6 3" xfId="2200"/>
    <cellStyle name="Normal 5 2 3 6 4" xfId="2201"/>
    <cellStyle name="Normal 5 2 3 7" xfId="2202"/>
    <cellStyle name="Normal 5 2 3 7 2" xfId="2203"/>
    <cellStyle name="Normal 5 2 3 7 3" xfId="2204"/>
    <cellStyle name="Normal 5 2 3 7 4" xfId="2205"/>
    <cellStyle name="Normal 5 2 3 8" xfId="2206"/>
    <cellStyle name="Normal 5 2 3 8 2" xfId="2207"/>
    <cellStyle name="Normal 5 2 3 8 3" xfId="2208"/>
    <cellStyle name="Normal 5 2 3 8 4" xfId="2209"/>
    <cellStyle name="Normal 5 2 3 9" xfId="2210"/>
    <cellStyle name="Normal 5 2 3 9 2" xfId="2211"/>
    <cellStyle name="Normal 5 2 3 9 3" xfId="2212"/>
    <cellStyle name="Normal 5 2 4" xfId="2213"/>
    <cellStyle name="Normal 5 2 4 10" xfId="2214"/>
    <cellStyle name="Normal 5 2 4 10 2" xfId="2215"/>
    <cellStyle name="Normal 5 2 4 11" xfId="2216"/>
    <cellStyle name="Normal 5 2 4 12" xfId="2217"/>
    <cellStyle name="Normal 5 2 4 2" xfId="2218"/>
    <cellStyle name="Normal 5 2 4 2 10" xfId="2219"/>
    <cellStyle name="Normal 5 2 4 2 2" xfId="2220"/>
    <cellStyle name="Normal 5 2 4 2 2 2" xfId="2221"/>
    <cellStyle name="Normal 5 2 4 2 2 2 2" xfId="2222"/>
    <cellStyle name="Normal 5 2 4 2 2 2 3" xfId="2223"/>
    <cellStyle name="Normal 5 2 4 2 2 2 4" xfId="2224"/>
    <cellStyle name="Normal 5 2 4 2 2 2 5" xfId="2225"/>
    <cellStyle name="Normal 5 2 4 2 2 3" xfId="2226"/>
    <cellStyle name="Normal 5 2 4 2 2 3 2" xfId="2227"/>
    <cellStyle name="Normal 5 2 4 2 2 3 3" xfId="2228"/>
    <cellStyle name="Normal 5 2 4 2 2 3 4" xfId="2229"/>
    <cellStyle name="Normal 5 2 4 2 2 4" xfId="2230"/>
    <cellStyle name="Normal 5 2 4 2 2 4 2" xfId="2231"/>
    <cellStyle name="Normal 5 2 4 2 2 4 3" xfId="2232"/>
    <cellStyle name="Normal 5 2 4 2 2 4 4" xfId="2233"/>
    <cellStyle name="Normal 5 2 4 2 2 5" xfId="2234"/>
    <cellStyle name="Normal 5 2 4 2 2 5 2" xfId="2235"/>
    <cellStyle name="Normal 5 2 4 2 2 5 3" xfId="2236"/>
    <cellStyle name="Normal 5 2 4 2 2 5 4" xfId="2237"/>
    <cellStyle name="Normal 5 2 4 2 2 6" xfId="2238"/>
    <cellStyle name="Normal 5 2 4 2 2 6 2" xfId="2239"/>
    <cellStyle name="Normal 5 2 4 2 2 6 3" xfId="2240"/>
    <cellStyle name="Normal 5 2 4 2 2 7" xfId="2241"/>
    <cellStyle name="Normal 5 2 4 2 2 7 2" xfId="2242"/>
    <cellStyle name="Normal 5 2 4 2 2 8" xfId="2243"/>
    <cellStyle name="Normal 5 2 4 2 3" xfId="2244"/>
    <cellStyle name="Normal 5 2 4 2 3 2" xfId="2245"/>
    <cellStyle name="Normal 5 2 4 2 3 2 2" xfId="2246"/>
    <cellStyle name="Normal 5 2 4 2 3 2 3" xfId="2247"/>
    <cellStyle name="Normal 5 2 4 2 3 2 4" xfId="2248"/>
    <cellStyle name="Normal 5 2 4 2 3 3" xfId="2249"/>
    <cellStyle name="Normal 5 2 4 2 3 3 2" xfId="2250"/>
    <cellStyle name="Normal 5 2 4 2 3 3 3" xfId="2251"/>
    <cellStyle name="Normal 5 2 4 2 3 3 4" xfId="2252"/>
    <cellStyle name="Normal 5 2 4 2 3 4" xfId="2253"/>
    <cellStyle name="Normal 5 2 4 2 3 4 2" xfId="2254"/>
    <cellStyle name="Normal 5 2 4 2 3 4 3" xfId="2255"/>
    <cellStyle name="Normal 5 2 4 2 3 4 4" xfId="2256"/>
    <cellStyle name="Normal 5 2 4 2 3 5" xfId="2257"/>
    <cellStyle name="Normal 5 2 4 2 3 5 2" xfId="2258"/>
    <cellStyle name="Normal 5 2 4 2 3 5 3" xfId="2259"/>
    <cellStyle name="Normal 5 2 4 2 3 6" xfId="2260"/>
    <cellStyle name="Normal 5 2 4 2 3 6 2" xfId="2261"/>
    <cellStyle name="Normal 5 2 4 2 3 7" xfId="2262"/>
    <cellStyle name="Normal 5 2 4 2 4" xfId="2263"/>
    <cellStyle name="Normal 5 2 4 2 4 2" xfId="2264"/>
    <cellStyle name="Normal 5 2 4 2 4 2 2" xfId="2265"/>
    <cellStyle name="Normal 5 2 4 2 4 2 3" xfId="2266"/>
    <cellStyle name="Normal 5 2 4 2 4 3" xfId="2267"/>
    <cellStyle name="Normal 5 2 4 2 4 3 2" xfId="2268"/>
    <cellStyle name="Normal 5 2 4 2 4 4" xfId="2269"/>
    <cellStyle name="Normal 5 2 4 2 5" xfId="2270"/>
    <cellStyle name="Normal 5 2 4 2 5 2" xfId="2271"/>
    <cellStyle name="Normal 5 2 4 2 5 2 2" xfId="2272"/>
    <cellStyle name="Normal 5 2 4 2 5 3" xfId="2273"/>
    <cellStyle name="Normal 5 2 4 2 5 4" xfId="2274"/>
    <cellStyle name="Normal 5 2 4 2 6" xfId="2275"/>
    <cellStyle name="Normal 5 2 4 2 6 2" xfId="2276"/>
    <cellStyle name="Normal 5 2 4 2 6 3" xfId="2277"/>
    <cellStyle name="Normal 5 2 4 2 6 4" xfId="2278"/>
    <cellStyle name="Normal 5 2 4 2 7" xfId="2279"/>
    <cellStyle name="Normal 5 2 4 2 7 2" xfId="2280"/>
    <cellStyle name="Normal 5 2 4 2 7 3" xfId="2281"/>
    <cellStyle name="Normal 5 2 4 2 8" xfId="2282"/>
    <cellStyle name="Normal 5 2 4 2 8 2" xfId="2283"/>
    <cellStyle name="Normal 5 2 4 2 9" xfId="2284"/>
    <cellStyle name="Normal 5 2 4 3" xfId="2285"/>
    <cellStyle name="Normal 5 2 4 3 2" xfId="2286"/>
    <cellStyle name="Normal 5 2 4 3 2 2" xfId="2287"/>
    <cellStyle name="Normal 5 2 4 3 2 3" xfId="2288"/>
    <cellStyle name="Normal 5 2 4 3 2 4" xfId="2289"/>
    <cellStyle name="Normal 5 2 4 3 2 5" xfId="2290"/>
    <cellStyle name="Normal 5 2 4 3 3" xfId="2291"/>
    <cellStyle name="Normal 5 2 4 3 3 2" xfId="2292"/>
    <cellStyle name="Normal 5 2 4 3 3 3" xfId="2293"/>
    <cellStyle name="Normal 5 2 4 3 3 4" xfId="2294"/>
    <cellStyle name="Normal 5 2 4 3 4" xfId="2295"/>
    <cellStyle name="Normal 5 2 4 3 4 2" xfId="2296"/>
    <cellStyle name="Normal 5 2 4 3 4 3" xfId="2297"/>
    <cellStyle name="Normal 5 2 4 3 4 4" xfId="2298"/>
    <cellStyle name="Normal 5 2 4 3 5" xfId="2299"/>
    <cellStyle name="Normal 5 2 4 3 5 2" xfId="2300"/>
    <cellStyle name="Normal 5 2 4 3 5 3" xfId="2301"/>
    <cellStyle name="Normal 5 2 4 3 5 4" xfId="2302"/>
    <cellStyle name="Normal 5 2 4 3 6" xfId="2303"/>
    <cellStyle name="Normal 5 2 4 3 6 2" xfId="2304"/>
    <cellStyle name="Normal 5 2 4 3 6 3" xfId="2305"/>
    <cellStyle name="Normal 5 2 4 3 6 4" xfId="2306"/>
    <cellStyle name="Normal 5 2 4 3 7" xfId="2307"/>
    <cellStyle name="Normal 5 2 4 3 7 2" xfId="2308"/>
    <cellStyle name="Normal 5 2 4 3 7 3" xfId="2309"/>
    <cellStyle name="Normal 5 2 4 3 8" xfId="2310"/>
    <cellStyle name="Normal 5 2 4 3 8 2" xfId="2311"/>
    <cellStyle name="Normal 5 2 4 3 9" xfId="2312"/>
    <cellStyle name="Normal 5 2 4 4" xfId="2313"/>
    <cellStyle name="Normal 5 2 4 4 2" xfId="2314"/>
    <cellStyle name="Normal 5 2 4 4 2 2" xfId="2315"/>
    <cellStyle name="Normal 5 2 4 4 2 3" xfId="2316"/>
    <cellStyle name="Normal 5 2 4 4 2 4" xfId="2317"/>
    <cellStyle name="Normal 5 2 4 4 2 5" xfId="2318"/>
    <cellStyle name="Normal 5 2 4 4 3" xfId="2319"/>
    <cellStyle name="Normal 5 2 4 4 3 2" xfId="2320"/>
    <cellStyle name="Normal 5 2 4 4 3 3" xfId="2321"/>
    <cellStyle name="Normal 5 2 4 4 3 4" xfId="2322"/>
    <cellStyle name="Normal 5 2 4 4 4" xfId="2323"/>
    <cellStyle name="Normal 5 2 4 4 4 2" xfId="2324"/>
    <cellStyle name="Normal 5 2 4 4 4 3" xfId="2325"/>
    <cellStyle name="Normal 5 2 4 4 4 4" xfId="2326"/>
    <cellStyle name="Normal 5 2 4 4 5" xfId="2327"/>
    <cellStyle name="Normal 5 2 4 4 5 2" xfId="2328"/>
    <cellStyle name="Normal 5 2 4 4 5 3" xfId="2329"/>
    <cellStyle name="Normal 5 2 4 4 6" xfId="2330"/>
    <cellStyle name="Normal 5 2 4 4 6 2" xfId="2331"/>
    <cellStyle name="Normal 5 2 4 4 7" xfId="2332"/>
    <cellStyle name="Normal 5 2 4 5" xfId="2333"/>
    <cellStyle name="Normal 5 2 4 5 2" xfId="2334"/>
    <cellStyle name="Normal 5 2 4 5 2 2" xfId="2335"/>
    <cellStyle name="Normal 5 2 4 5 2 3" xfId="2336"/>
    <cellStyle name="Normal 5 2 4 5 3" xfId="2337"/>
    <cellStyle name="Normal 5 2 4 5 3 2" xfId="2338"/>
    <cellStyle name="Normal 5 2 4 5 4" xfId="2339"/>
    <cellStyle name="Normal 5 2 4 5 5" xfId="2340"/>
    <cellStyle name="Normal 5 2 4 6" xfId="2341"/>
    <cellStyle name="Normal 5 2 4 6 2" xfId="2342"/>
    <cellStyle name="Normal 5 2 4 6 2 2" xfId="2343"/>
    <cellStyle name="Normal 5 2 4 6 3" xfId="2344"/>
    <cellStyle name="Normal 5 2 4 6 4" xfId="2345"/>
    <cellStyle name="Normal 5 2 4 7" xfId="2346"/>
    <cellStyle name="Normal 5 2 4 7 2" xfId="2347"/>
    <cellStyle name="Normal 5 2 4 7 3" xfId="2348"/>
    <cellStyle name="Normal 5 2 4 7 4" xfId="2349"/>
    <cellStyle name="Normal 5 2 4 8" xfId="2350"/>
    <cellStyle name="Normal 5 2 4 8 2" xfId="2351"/>
    <cellStyle name="Normal 5 2 4 8 3" xfId="2352"/>
    <cellStyle name="Normal 5 2 4 8 4" xfId="2353"/>
    <cellStyle name="Normal 5 2 4 9" xfId="2354"/>
    <cellStyle name="Normal 5 2 4 9 2" xfId="2355"/>
    <cellStyle name="Normal 5 2 4 9 3" xfId="2356"/>
    <cellStyle name="Normal 5 3" xfId="2357"/>
    <cellStyle name="Normal 5 3 2" xfId="2358"/>
    <cellStyle name="Normal 5 3 2 10" xfId="2359"/>
    <cellStyle name="Normal 5 3 2 10 2" xfId="2360"/>
    <cellStyle name="Normal 5 3 2 10 3" xfId="2361"/>
    <cellStyle name="Normal 5 3 2 11" xfId="2362"/>
    <cellStyle name="Normal 5 3 2 11 2" xfId="2363"/>
    <cellStyle name="Normal 5 3 2 12" xfId="2364"/>
    <cellStyle name="Normal 5 3 2 13" xfId="2365"/>
    <cellStyle name="Normal 5 3 2 2" xfId="2366"/>
    <cellStyle name="Normal 5 3 2 2 10" xfId="2367"/>
    <cellStyle name="Normal 5 3 2 2 10 2" xfId="2368"/>
    <cellStyle name="Normal 5 3 2 2 11" xfId="2369"/>
    <cellStyle name="Normal 5 3 2 2 12" xfId="2370"/>
    <cellStyle name="Normal 5 3 2 2 2" xfId="2371"/>
    <cellStyle name="Normal 5 3 2 2 2 10" xfId="2372"/>
    <cellStyle name="Normal 5 3 2 2 2 2" xfId="2373"/>
    <cellStyle name="Normal 5 3 2 2 2 2 2" xfId="2374"/>
    <cellStyle name="Normal 5 3 2 2 2 2 2 2" xfId="2375"/>
    <cellStyle name="Normal 5 3 2 2 2 2 2 3" xfId="2376"/>
    <cellStyle name="Normal 5 3 2 2 2 2 2 4" xfId="2377"/>
    <cellStyle name="Normal 5 3 2 2 2 2 2 5" xfId="2378"/>
    <cellStyle name="Normal 5 3 2 2 2 2 3" xfId="2379"/>
    <cellStyle name="Normal 5 3 2 2 2 2 3 2" xfId="2380"/>
    <cellStyle name="Normal 5 3 2 2 2 2 3 3" xfId="2381"/>
    <cellStyle name="Normal 5 3 2 2 2 2 3 4" xfId="2382"/>
    <cellStyle name="Normal 5 3 2 2 2 2 4" xfId="2383"/>
    <cellStyle name="Normal 5 3 2 2 2 2 4 2" xfId="2384"/>
    <cellStyle name="Normal 5 3 2 2 2 2 4 3" xfId="2385"/>
    <cellStyle name="Normal 5 3 2 2 2 2 4 4" xfId="2386"/>
    <cellStyle name="Normal 5 3 2 2 2 2 5" xfId="2387"/>
    <cellStyle name="Normal 5 3 2 2 2 2 5 2" xfId="2388"/>
    <cellStyle name="Normal 5 3 2 2 2 2 5 3" xfId="2389"/>
    <cellStyle name="Normal 5 3 2 2 2 2 5 4" xfId="2390"/>
    <cellStyle name="Normal 5 3 2 2 2 2 6" xfId="2391"/>
    <cellStyle name="Normal 5 3 2 2 2 2 6 2" xfId="2392"/>
    <cellStyle name="Normal 5 3 2 2 2 2 6 3" xfId="2393"/>
    <cellStyle name="Normal 5 3 2 2 2 2 7" xfId="2394"/>
    <cellStyle name="Normal 5 3 2 2 2 2 7 2" xfId="2395"/>
    <cellStyle name="Normal 5 3 2 2 2 2 8" xfId="2396"/>
    <cellStyle name="Normal 5 3 2 2 2 3" xfId="2397"/>
    <cellStyle name="Normal 5 3 2 2 2 3 2" xfId="2398"/>
    <cellStyle name="Normal 5 3 2 2 2 3 2 2" xfId="2399"/>
    <cellStyle name="Normal 5 3 2 2 2 3 2 3" xfId="2400"/>
    <cellStyle name="Normal 5 3 2 2 2 3 2 4" xfId="2401"/>
    <cellStyle name="Normal 5 3 2 2 2 3 3" xfId="2402"/>
    <cellStyle name="Normal 5 3 2 2 2 3 3 2" xfId="2403"/>
    <cellStyle name="Normal 5 3 2 2 2 3 3 3" xfId="2404"/>
    <cellStyle name="Normal 5 3 2 2 2 3 3 4" xfId="2405"/>
    <cellStyle name="Normal 5 3 2 2 2 3 4" xfId="2406"/>
    <cellStyle name="Normal 5 3 2 2 2 3 4 2" xfId="2407"/>
    <cellStyle name="Normal 5 3 2 2 2 3 4 3" xfId="2408"/>
    <cellStyle name="Normal 5 3 2 2 2 3 4 4" xfId="2409"/>
    <cellStyle name="Normal 5 3 2 2 2 3 5" xfId="2410"/>
    <cellStyle name="Normal 5 3 2 2 2 3 5 2" xfId="2411"/>
    <cellStyle name="Normal 5 3 2 2 2 3 5 3" xfId="2412"/>
    <cellStyle name="Normal 5 3 2 2 2 3 6" xfId="2413"/>
    <cellStyle name="Normal 5 3 2 2 2 3 6 2" xfId="2414"/>
    <cellStyle name="Normal 5 3 2 2 2 3 7" xfId="2415"/>
    <cellStyle name="Normal 5 3 2 2 2 4" xfId="2416"/>
    <cellStyle name="Normal 5 3 2 2 2 4 2" xfId="2417"/>
    <cellStyle name="Normal 5 3 2 2 2 4 2 2" xfId="2418"/>
    <cellStyle name="Normal 5 3 2 2 2 4 2 3" xfId="2419"/>
    <cellStyle name="Normal 5 3 2 2 2 4 3" xfId="2420"/>
    <cellStyle name="Normal 5 3 2 2 2 4 3 2" xfId="2421"/>
    <cellStyle name="Normal 5 3 2 2 2 4 4" xfId="2422"/>
    <cellStyle name="Normal 5 3 2 2 2 5" xfId="2423"/>
    <cellStyle name="Normal 5 3 2 2 2 5 2" xfId="2424"/>
    <cellStyle name="Normal 5 3 2 2 2 5 2 2" xfId="2425"/>
    <cellStyle name="Normal 5 3 2 2 2 5 3" xfId="2426"/>
    <cellStyle name="Normal 5 3 2 2 2 5 4" xfId="2427"/>
    <cellStyle name="Normal 5 3 2 2 2 6" xfId="2428"/>
    <cellStyle name="Normal 5 3 2 2 2 6 2" xfId="2429"/>
    <cellStyle name="Normal 5 3 2 2 2 6 3" xfId="2430"/>
    <cellStyle name="Normal 5 3 2 2 2 6 4" xfId="2431"/>
    <cellStyle name="Normal 5 3 2 2 2 7" xfId="2432"/>
    <cellStyle name="Normal 5 3 2 2 2 7 2" xfId="2433"/>
    <cellStyle name="Normal 5 3 2 2 2 7 3" xfId="2434"/>
    <cellStyle name="Normal 5 3 2 2 2 8" xfId="2435"/>
    <cellStyle name="Normal 5 3 2 2 2 8 2" xfId="2436"/>
    <cellStyle name="Normal 5 3 2 2 2 9" xfId="2437"/>
    <cellStyle name="Normal 5 3 2 2 3" xfId="2438"/>
    <cellStyle name="Normal 5 3 2 2 3 2" xfId="2439"/>
    <cellStyle name="Normal 5 3 2 2 3 2 2" xfId="2440"/>
    <cellStyle name="Normal 5 3 2 2 3 2 3" xfId="2441"/>
    <cellStyle name="Normal 5 3 2 2 3 2 4" xfId="2442"/>
    <cellStyle name="Normal 5 3 2 2 3 2 5" xfId="2443"/>
    <cellStyle name="Normal 5 3 2 2 3 3" xfId="2444"/>
    <cellStyle name="Normal 5 3 2 2 3 3 2" xfId="2445"/>
    <cellStyle name="Normal 5 3 2 2 3 3 3" xfId="2446"/>
    <cellStyle name="Normal 5 3 2 2 3 3 4" xfId="2447"/>
    <cellStyle name="Normal 5 3 2 2 3 4" xfId="2448"/>
    <cellStyle name="Normal 5 3 2 2 3 4 2" xfId="2449"/>
    <cellStyle name="Normal 5 3 2 2 3 4 3" xfId="2450"/>
    <cellStyle name="Normal 5 3 2 2 3 4 4" xfId="2451"/>
    <cellStyle name="Normal 5 3 2 2 3 5" xfId="2452"/>
    <cellStyle name="Normal 5 3 2 2 3 5 2" xfId="2453"/>
    <cellStyle name="Normal 5 3 2 2 3 5 3" xfId="2454"/>
    <cellStyle name="Normal 5 3 2 2 3 5 4" xfId="2455"/>
    <cellStyle name="Normal 5 3 2 2 3 6" xfId="2456"/>
    <cellStyle name="Normal 5 3 2 2 3 6 2" xfId="2457"/>
    <cellStyle name="Normal 5 3 2 2 3 6 3" xfId="2458"/>
    <cellStyle name="Normal 5 3 2 2 3 6 4" xfId="2459"/>
    <cellStyle name="Normal 5 3 2 2 3 7" xfId="2460"/>
    <cellStyle name="Normal 5 3 2 2 3 7 2" xfId="2461"/>
    <cellStyle name="Normal 5 3 2 2 3 7 3" xfId="2462"/>
    <cellStyle name="Normal 5 3 2 2 3 8" xfId="2463"/>
    <cellStyle name="Normal 5 3 2 2 3 8 2" xfId="2464"/>
    <cellStyle name="Normal 5 3 2 2 3 9" xfId="2465"/>
    <cellStyle name="Normal 5 3 2 2 4" xfId="2466"/>
    <cellStyle name="Normal 5 3 2 2 4 2" xfId="2467"/>
    <cellStyle name="Normal 5 3 2 2 4 2 2" xfId="2468"/>
    <cellStyle name="Normal 5 3 2 2 4 2 3" xfId="2469"/>
    <cellStyle name="Normal 5 3 2 2 4 2 4" xfId="2470"/>
    <cellStyle name="Normal 5 3 2 2 4 2 5" xfId="2471"/>
    <cellStyle name="Normal 5 3 2 2 4 3" xfId="2472"/>
    <cellStyle name="Normal 5 3 2 2 4 3 2" xfId="2473"/>
    <cellStyle name="Normal 5 3 2 2 4 3 3" xfId="2474"/>
    <cellStyle name="Normal 5 3 2 2 4 3 4" xfId="2475"/>
    <cellStyle name="Normal 5 3 2 2 4 4" xfId="2476"/>
    <cellStyle name="Normal 5 3 2 2 4 4 2" xfId="2477"/>
    <cellStyle name="Normal 5 3 2 2 4 4 3" xfId="2478"/>
    <cellStyle name="Normal 5 3 2 2 4 4 4" xfId="2479"/>
    <cellStyle name="Normal 5 3 2 2 4 5" xfId="2480"/>
    <cellStyle name="Normal 5 3 2 2 4 5 2" xfId="2481"/>
    <cellStyle name="Normal 5 3 2 2 4 5 3" xfId="2482"/>
    <cellStyle name="Normal 5 3 2 2 4 6" xfId="2483"/>
    <cellStyle name="Normal 5 3 2 2 4 6 2" xfId="2484"/>
    <cellStyle name="Normal 5 3 2 2 4 7" xfId="2485"/>
    <cellStyle name="Normal 5 3 2 2 5" xfId="2486"/>
    <cellStyle name="Normal 5 3 2 2 5 2" xfId="2487"/>
    <cellStyle name="Normal 5 3 2 2 5 2 2" xfId="2488"/>
    <cellStyle name="Normal 5 3 2 2 5 2 3" xfId="2489"/>
    <cellStyle name="Normal 5 3 2 2 5 3" xfId="2490"/>
    <cellStyle name="Normal 5 3 2 2 5 3 2" xfId="2491"/>
    <cellStyle name="Normal 5 3 2 2 5 4" xfId="2492"/>
    <cellStyle name="Normal 5 3 2 2 5 5" xfId="2493"/>
    <cellStyle name="Normal 5 3 2 2 6" xfId="2494"/>
    <cellStyle name="Normal 5 3 2 2 6 2" xfId="2495"/>
    <cellStyle name="Normal 5 3 2 2 6 2 2" xfId="2496"/>
    <cellStyle name="Normal 5 3 2 2 6 3" xfId="2497"/>
    <cellStyle name="Normal 5 3 2 2 6 4" xfId="2498"/>
    <cellStyle name="Normal 5 3 2 2 7" xfId="2499"/>
    <cellStyle name="Normal 5 3 2 2 7 2" xfId="2500"/>
    <cellStyle name="Normal 5 3 2 2 7 3" xfId="2501"/>
    <cellStyle name="Normal 5 3 2 2 7 4" xfId="2502"/>
    <cellStyle name="Normal 5 3 2 2 8" xfId="2503"/>
    <cellStyle name="Normal 5 3 2 2 8 2" xfId="2504"/>
    <cellStyle name="Normal 5 3 2 2 8 3" xfId="2505"/>
    <cellStyle name="Normal 5 3 2 2 8 4" xfId="2506"/>
    <cellStyle name="Normal 5 3 2 2 9" xfId="2507"/>
    <cellStyle name="Normal 5 3 2 2 9 2" xfId="2508"/>
    <cellStyle name="Normal 5 3 2 2 9 3" xfId="2509"/>
    <cellStyle name="Normal 5 3 2 3" xfId="2510"/>
    <cellStyle name="Normal 5 3 2 3 10" xfId="2511"/>
    <cellStyle name="Normal 5 3 2 3 2" xfId="2512"/>
    <cellStyle name="Normal 5 3 2 3 2 2" xfId="2513"/>
    <cellStyle name="Normal 5 3 2 3 2 2 2" xfId="2514"/>
    <cellStyle name="Normal 5 3 2 3 2 2 3" xfId="2515"/>
    <cellStyle name="Normal 5 3 2 3 2 2 4" xfId="2516"/>
    <cellStyle name="Normal 5 3 2 3 2 2 5" xfId="2517"/>
    <cellStyle name="Normal 5 3 2 3 2 3" xfId="2518"/>
    <cellStyle name="Normal 5 3 2 3 2 3 2" xfId="2519"/>
    <cellStyle name="Normal 5 3 2 3 2 3 3" xfId="2520"/>
    <cellStyle name="Normal 5 3 2 3 2 3 4" xfId="2521"/>
    <cellStyle name="Normal 5 3 2 3 2 4" xfId="2522"/>
    <cellStyle name="Normal 5 3 2 3 2 4 2" xfId="2523"/>
    <cellStyle name="Normal 5 3 2 3 2 4 3" xfId="2524"/>
    <cellStyle name="Normal 5 3 2 3 2 4 4" xfId="2525"/>
    <cellStyle name="Normal 5 3 2 3 2 5" xfId="2526"/>
    <cellStyle name="Normal 5 3 2 3 2 5 2" xfId="2527"/>
    <cellStyle name="Normal 5 3 2 3 2 5 3" xfId="2528"/>
    <cellStyle name="Normal 5 3 2 3 2 5 4" xfId="2529"/>
    <cellStyle name="Normal 5 3 2 3 2 6" xfId="2530"/>
    <cellStyle name="Normal 5 3 2 3 2 6 2" xfId="2531"/>
    <cellStyle name="Normal 5 3 2 3 2 6 3" xfId="2532"/>
    <cellStyle name="Normal 5 3 2 3 2 7" xfId="2533"/>
    <cellStyle name="Normal 5 3 2 3 2 7 2" xfId="2534"/>
    <cellStyle name="Normal 5 3 2 3 2 8" xfId="2535"/>
    <cellStyle name="Normal 5 3 2 3 3" xfId="2536"/>
    <cellStyle name="Normal 5 3 2 3 3 2" xfId="2537"/>
    <cellStyle name="Normal 5 3 2 3 3 2 2" xfId="2538"/>
    <cellStyle name="Normal 5 3 2 3 3 2 3" xfId="2539"/>
    <cellStyle name="Normal 5 3 2 3 3 2 4" xfId="2540"/>
    <cellStyle name="Normal 5 3 2 3 3 3" xfId="2541"/>
    <cellStyle name="Normal 5 3 2 3 3 3 2" xfId="2542"/>
    <cellStyle name="Normal 5 3 2 3 3 3 3" xfId="2543"/>
    <cellStyle name="Normal 5 3 2 3 3 3 4" xfId="2544"/>
    <cellStyle name="Normal 5 3 2 3 3 4" xfId="2545"/>
    <cellStyle name="Normal 5 3 2 3 3 4 2" xfId="2546"/>
    <cellStyle name="Normal 5 3 2 3 3 4 3" xfId="2547"/>
    <cellStyle name="Normal 5 3 2 3 3 4 4" xfId="2548"/>
    <cellStyle name="Normal 5 3 2 3 3 5" xfId="2549"/>
    <cellStyle name="Normal 5 3 2 3 3 5 2" xfId="2550"/>
    <cellStyle name="Normal 5 3 2 3 3 5 3" xfId="2551"/>
    <cellStyle name="Normal 5 3 2 3 3 6" xfId="2552"/>
    <cellStyle name="Normal 5 3 2 3 3 6 2" xfId="2553"/>
    <cellStyle name="Normal 5 3 2 3 3 7" xfId="2554"/>
    <cellStyle name="Normal 5 3 2 3 4" xfId="2555"/>
    <cellStyle name="Normal 5 3 2 3 4 2" xfId="2556"/>
    <cellStyle name="Normal 5 3 2 3 4 2 2" xfId="2557"/>
    <cellStyle name="Normal 5 3 2 3 4 2 3" xfId="2558"/>
    <cellStyle name="Normal 5 3 2 3 4 3" xfId="2559"/>
    <cellStyle name="Normal 5 3 2 3 4 3 2" xfId="2560"/>
    <cellStyle name="Normal 5 3 2 3 4 4" xfId="2561"/>
    <cellStyle name="Normal 5 3 2 3 5" xfId="2562"/>
    <cellStyle name="Normal 5 3 2 3 5 2" xfId="2563"/>
    <cellStyle name="Normal 5 3 2 3 5 2 2" xfId="2564"/>
    <cellStyle name="Normal 5 3 2 3 5 3" xfId="2565"/>
    <cellStyle name="Normal 5 3 2 3 5 4" xfId="2566"/>
    <cellStyle name="Normal 5 3 2 3 6" xfId="2567"/>
    <cellStyle name="Normal 5 3 2 3 6 2" xfId="2568"/>
    <cellStyle name="Normal 5 3 2 3 6 3" xfId="2569"/>
    <cellStyle name="Normal 5 3 2 3 6 4" xfId="2570"/>
    <cellStyle name="Normal 5 3 2 3 7" xfId="2571"/>
    <cellStyle name="Normal 5 3 2 3 7 2" xfId="2572"/>
    <cellStyle name="Normal 5 3 2 3 7 3" xfId="2573"/>
    <cellStyle name="Normal 5 3 2 3 8" xfId="2574"/>
    <cellStyle name="Normal 5 3 2 3 8 2" xfId="2575"/>
    <cellStyle name="Normal 5 3 2 3 9" xfId="2576"/>
    <cellStyle name="Normal 5 3 2 4" xfId="2577"/>
    <cellStyle name="Normal 5 3 2 4 2" xfId="2578"/>
    <cellStyle name="Normal 5 3 2 4 2 2" xfId="2579"/>
    <cellStyle name="Normal 5 3 2 4 2 3" xfId="2580"/>
    <cellStyle name="Normal 5 3 2 4 2 4" xfId="2581"/>
    <cellStyle name="Normal 5 3 2 4 2 5" xfId="2582"/>
    <cellStyle name="Normal 5 3 2 4 3" xfId="2583"/>
    <cellStyle name="Normal 5 3 2 4 3 2" xfId="2584"/>
    <cellStyle name="Normal 5 3 2 4 3 3" xfId="2585"/>
    <cellStyle name="Normal 5 3 2 4 3 4" xfId="2586"/>
    <cellStyle name="Normal 5 3 2 4 4" xfId="2587"/>
    <cellStyle name="Normal 5 3 2 4 4 2" xfId="2588"/>
    <cellStyle name="Normal 5 3 2 4 4 3" xfId="2589"/>
    <cellStyle name="Normal 5 3 2 4 4 4" xfId="2590"/>
    <cellStyle name="Normal 5 3 2 4 5" xfId="2591"/>
    <cellStyle name="Normal 5 3 2 4 5 2" xfId="2592"/>
    <cellStyle name="Normal 5 3 2 4 5 3" xfId="2593"/>
    <cellStyle name="Normal 5 3 2 4 5 4" xfId="2594"/>
    <cellStyle name="Normal 5 3 2 4 6" xfId="2595"/>
    <cellStyle name="Normal 5 3 2 4 6 2" xfId="2596"/>
    <cellStyle name="Normal 5 3 2 4 6 3" xfId="2597"/>
    <cellStyle name="Normal 5 3 2 4 6 4" xfId="2598"/>
    <cellStyle name="Normal 5 3 2 4 7" xfId="2599"/>
    <cellStyle name="Normal 5 3 2 4 7 2" xfId="2600"/>
    <cellStyle name="Normal 5 3 2 4 7 3" xfId="2601"/>
    <cellStyle name="Normal 5 3 2 4 8" xfId="2602"/>
    <cellStyle name="Normal 5 3 2 4 8 2" xfId="2603"/>
    <cellStyle name="Normal 5 3 2 4 9" xfId="2604"/>
    <cellStyle name="Normal 5 3 2 5" xfId="2605"/>
    <cellStyle name="Normal 5 3 2 5 2" xfId="2606"/>
    <cellStyle name="Normal 5 3 2 5 2 2" xfId="2607"/>
    <cellStyle name="Normal 5 3 2 5 2 3" xfId="2608"/>
    <cellStyle name="Normal 5 3 2 5 2 4" xfId="2609"/>
    <cellStyle name="Normal 5 3 2 5 2 5" xfId="2610"/>
    <cellStyle name="Normal 5 3 2 5 3" xfId="2611"/>
    <cellStyle name="Normal 5 3 2 5 3 2" xfId="2612"/>
    <cellStyle name="Normal 5 3 2 5 3 3" xfId="2613"/>
    <cellStyle name="Normal 5 3 2 5 3 4" xfId="2614"/>
    <cellStyle name="Normal 5 3 2 5 4" xfId="2615"/>
    <cellStyle name="Normal 5 3 2 5 4 2" xfId="2616"/>
    <cellStyle name="Normal 5 3 2 5 4 3" xfId="2617"/>
    <cellStyle name="Normal 5 3 2 5 4 4" xfId="2618"/>
    <cellStyle name="Normal 5 3 2 5 5" xfId="2619"/>
    <cellStyle name="Normal 5 3 2 5 5 2" xfId="2620"/>
    <cellStyle name="Normal 5 3 2 5 5 3" xfId="2621"/>
    <cellStyle name="Normal 5 3 2 5 6" xfId="2622"/>
    <cellStyle name="Normal 5 3 2 5 6 2" xfId="2623"/>
    <cellStyle name="Normal 5 3 2 5 7" xfId="2624"/>
    <cellStyle name="Normal 5 3 2 6" xfId="2625"/>
    <cellStyle name="Normal 5 3 2 6 2" xfId="2626"/>
    <cellStyle name="Normal 5 3 2 6 2 2" xfId="2627"/>
    <cellStyle name="Normal 5 3 2 6 2 3" xfId="2628"/>
    <cellStyle name="Normal 5 3 2 6 3" xfId="2629"/>
    <cellStyle name="Normal 5 3 2 6 3 2" xfId="2630"/>
    <cellStyle name="Normal 5 3 2 6 4" xfId="2631"/>
    <cellStyle name="Normal 5 3 2 6 5" xfId="2632"/>
    <cellStyle name="Normal 5 3 2 7" xfId="2633"/>
    <cellStyle name="Normal 5 3 2 7 2" xfId="2634"/>
    <cellStyle name="Normal 5 3 2 7 2 2" xfId="2635"/>
    <cellStyle name="Normal 5 3 2 7 3" xfId="2636"/>
    <cellStyle name="Normal 5 3 2 7 4" xfId="2637"/>
    <cellStyle name="Normal 5 3 2 8" xfId="2638"/>
    <cellStyle name="Normal 5 3 2 8 2" xfId="2639"/>
    <cellStyle name="Normal 5 3 2 8 3" xfId="2640"/>
    <cellStyle name="Normal 5 3 2 8 4" xfId="2641"/>
    <cellStyle name="Normal 5 3 2 9" xfId="2642"/>
    <cellStyle name="Normal 5 3 2 9 2" xfId="2643"/>
    <cellStyle name="Normal 5 3 2 9 3" xfId="2644"/>
    <cellStyle name="Normal 5 3 2 9 4" xfId="2645"/>
    <cellStyle name="Normal 5 3 3" xfId="2646"/>
    <cellStyle name="Normal 5 3 3 10" xfId="2647"/>
    <cellStyle name="Normal 5 3 3 10 2" xfId="2648"/>
    <cellStyle name="Normal 5 3 3 11" xfId="2649"/>
    <cellStyle name="Normal 5 3 3 12" xfId="2650"/>
    <cellStyle name="Normal 5 3 3 2" xfId="2651"/>
    <cellStyle name="Normal 5 3 3 2 10" xfId="2652"/>
    <cellStyle name="Normal 5 3 3 2 2" xfId="2653"/>
    <cellStyle name="Normal 5 3 3 2 2 2" xfId="2654"/>
    <cellStyle name="Normal 5 3 3 2 2 2 2" xfId="2655"/>
    <cellStyle name="Normal 5 3 3 2 2 2 3" xfId="2656"/>
    <cellStyle name="Normal 5 3 3 2 2 2 4" xfId="2657"/>
    <cellStyle name="Normal 5 3 3 2 2 2 5" xfId="2658"/>
    <cellStyle name="Normal 5 3 3 2 2 3" xfId="2659"/>
    <cellStyle name="Normal 5 3 3 2 2 3 2" xfId="2660"/>
    <cellStyle name="Normal 5 3 3 2 2 3 3" xfId="2661"/>
    <cellStyle name="Normal 5 3 3 2 2 3 4" xfId="2662"/>
    <cellStyle name="Normal 5 3 3 2 2 4" xfId="2663"/>
    <cellStyle name="Normal 5 3 3 2 2 4 2" xfId="2664"/>
    <cellStyle name="Normal 5 3 3 2 2 4 3" xfId="2665"/>
    <cellStyle name="Normal 5 3 3 2 2 4 4" xfId="2666"/>
    <cellStyle name="Normal 5 3 3 2 2 5" xfId="2667"/>
    <cellStyle name="Normal 5 3 3 2 2 5 2" xfId="2668"/>
    <cellStyle name="Normal 5 3 3 2 2 5 3" xfId="2669"/>
    <cellStyle name="Normal 5 3 3 2 2 5 4" xfId="2670"/>
    <cellStyle name="Normal 5 3 3 2 2 6" xfId="2671"/>
    <cellStyle name="Normal 5 3 3 2 2 6 2" xfId="2672"/>
    <cellStyle name="Normal 5 3 3 2 2 6 3" xfId="2673"/>
    <cellStyle name="Normal 5 3 3 2 2 7" xfId="2674"/>
    <cellStyle name="Normal 5 3 3 2 2 7 2" xfId="2675"/>
    <cellStyle name="Normal 5 3 3 2 2 8" xfId="2676"/>
    <cellStyle name="Normal 5 3 3 2 3" xfId="2677"/>
    <cellStyle name="Normal 5 3 3 2 3 2" xfId="2678"/>
    <cellStyle name="Normal 5 3 3 2 3 2 2" xfId="2679"/>
    <cellStyle name="Normal 5 3 3 2 3 2 3" xfId="2680"/>
    <cellStyle name="Normal 5 3 3 2 3 2 4" xfId="2681"/>
    <cellStyle name="Normal 5 3 3 2 3 3" xfId="2682"/>
    <cellStyle name="Normal 5 3 3 2 3 3 2" xfId="2683"/>
    <cellStyle name="Normal 5 3 3 2 3 3 3" xfId="2684"/>
    <cellStyle name="Normal 5 3 3 2 3 3 4" xfId="2685"/>
    <cellStyle name="Normal 5 3 3 2 3 4" xfId="2686"/>
    <cellStyle name="Normal 5 3 3 2 3 4 2" xfId="2687"/>
    <cellStyle name="Normal 5 3 3 2 3 4 3" xfId="2688"/>
    <cellStyle name="Normal 5 3 3 2 3 4 4" xfId="2689"/>
    <cellStyle name="Normal 5 3 3 2 3 5" xfId="2690"/>
    <cellStyle name="Normal 5 3 3 2 3 5 2" xfId="2691"/>
    <cellStyle name="Normal 5 3 3 2 3 5 3" xfId="2692"/>
    <cellStyle name="Normal 5 3 3 2 3 6" xfId="2693"/>
    <cellStyle name="Normal 5 3 3 2 3 6 2" xfId="2694"/>
    <cellStyle name="Normal 5 3 3 2 3 7" xfId="2695"/>
    <cellStyle name="Normal 5 3 3 2 4" xfId="2696"/>
    <cellStyle name="Normal 5 3 3 2 4 2" xfId="2697"/>
    <cellStyle name="Normal 5 3 3 2 4 2 2" xfId="2698"/>
    <cellStyle name="Normal 5 3 3 2 4 2 3" xfId="2699"/>
    <cellStyle name="Normal 5 3 3 2 4 3" xfId="2700"/>
    <cellStyle name="Normal 5 3 3 2 4 3 2" xfId="2701"/>
    <cellStyle name="Normal 5 3 3 2 4 4" xfId="2702"/>
    <cellStyle name="Normal 5 3 3 2 5" xfId="2703"/>
    <cellStyle name="Normal 5 3 3 2 5 2" xfId="2704"/>
    <cellStyle name="Normal 5 3 3 2 5 2 2" xfId="2705"/>
    <cellStyle name="Normal 5 3 3 2 5 3" xfId="2706"/>
    <cellStyle name="Normal 5 3 3 2 5 4" xfId="2707"/>
    <cellStyle name="Normal 5 3 3 2 6" xfId="2708"/>
    <cellStyle name="Normal 5 3 3 2 6 2" xfId="2709"/>
    <cellStyle name="Normal 5 3 3 2 6 3" xfId="2710"/>
    <cellStyle name="Normal 5 3 3 2 6 4" xfId="2711"/>
    <cellStyle name="Normal 5 3 3 2 7" xfId="2712"/>
    <cellStyle name="Normal 5 3 3 2 7 2" xfId="2713"/>
    <cellStyle name="Normal 5 3 3 2 7 3" xfId="2714"/>
    <cellStyle name="Normal 5 3 3 2 8" xfId="2715"/>
    <cellStyle name="Normal 5 3 3 2 8 2" xfId="2716"/>
    <cellStyle name="Normal 5 3 3 2 9" xfId="2717"/>
    <cellStyle name="Normal 5 3 3 3" xfId="2718"/>
    <cellStyle name="Normal 5 3 3 3 2" xfId="2719"/>
    <cellStyle name="Normal 5 3 3 3 2 2" xfId="2720"/>
    <cellStyle name="Normal 5 3 3 3 2 3" xfId="2721"/>
    <cellStyle name="Normal 5 3 3 3 2 4" xfId="2722"/>
    <cellStyle name="Normal 5 3 3 3 2 5" xfId="2723"/>
    <cellStyle name="Normal 5 3 3 3 3" xfId="2724"/>
    <cellStyle name="Normal 5 3 3 3 3 2" xfId="2725"/>
    <cellStyle name="Normal 5 3 3 3 3 3" xfId="2726"/>
    <cellStyle name="Normal 5 3 3 3 3 4" xfId="2727"/>
    <cellStyle name="Normal 5 3 3 3 4" xfId="2728"/>
    <cellStyle name="Normal 5 3 3 3 4 2" xfId="2729"/>
    <cellStyle name="Normal 5 3 3 3 4 3" xfId="2730"/>
    <cellStyle name="Normal 5 3 3 3 4 4" xfId="2731"/>
    <cellStyle name="Normal 5 3 3 3 5" xfId="2732"/>
    <cellStyle name="Normal 5 3 3 3 5 2" xfId="2733"/>
    <cellStyle name="Normal 5 3 3 3 5 3" xfId="2734"/>
    <cellStyle name="Normal 5 3 3 3 5 4" xfId="2735"/>
    <cellStyle name="Normal 5 3 3 3 6" xfId="2736"/>
    <cellStyle name="Normal 5 3 3 3 6 2" xfId="2737"/>
    <cellStyle name="Normal 5 3 3 3 6 3" xfId="2738"/>
    <cellStyle name="Normal 5 3 3 3 6 4" xfId="2739"/>
    <cellStyle name="Normal 5 3 3 3 7" xfId="2740"/>
    <cellStyle name="Normal 5 3 3 3 7 2" xfId="2741"/>
    <cellStyle name="Normal 5 3 3 3 7 3" xfId="2742"/>
    <cellStyle name="Normal 5 3 3 3 8" xfId="2743"/>
    <cellStyle name="Normal 5 3 3 3 8 2" xfId="2744"/>
    <cellStyle name="Normal 5 3 3 3 9" xfId="2745"/>
    <cellStyle name="Normal 5 3 3 4" xfId="2746"/>
    <cellStyle name="Normal 5 3 3 4 2" xfId="2747"/>
    <cellStyle name="Normal 5 3 3 4 2 2" xfId="2748"/>
    <cellStyle name="Normal 5 3 3 4 2 3" xfId="2749"/>
    <cellStyle name="Normal 5 3 3 4 2 4" xfId="2750"/>
    <cellStyle name="Normal 5 3 3 4 2 5" xfId="2751"/>
    <cellStyle name="Normal 5 3 3 4 3" xfId="2752"/>
    <cellStyle name="Normal 5 3 3 4 3 2" xfId="2753"/>
    <cellStyle name="Normal 5 3 3 4 3 3" xfId="2754"/>
    <cellStyle name="Normal 5 3 3 4 3 4" xfId="2755"/>
    <cellStyle name="Normal 5 3 3 4 4" xfId="2756"/>
    <cellStyle name="Normal 5 3 3 4 4 2" xfId="2757"/>
    <cellStyle name="Normal 5 3 3 4 4 3" xfId="2758"/>
    <cellStyle name="Normal 5 3 3 4 4 4" xfId="2759"/>
    <cellStyle name="Normal 5 3 3 4 5" xfId="2760"/>
    <cellStyle name="Normal 5 3 3 4 5 2" xfId="2761"/>
    <cellStyle name="Normal 5 3 3 4 5 3" xfId="2762"/>
    <cellStyle name="Normal 5 3 3 4 6" xfId="2763"/>
    <cellStyle name="Normal 5 3 3 4 6 2" xfId="2764"/>
    <cellStyle name="Normal 5 3 3 4 7" xfId="2765"/>
    <cellStyle name="Normal 5 3 3 5" xfId="2766"/>
    <cellStyle name="Normal 5 3 3 5 2" xfId="2767"/>
    <cellStyle name="Normal 5 3 3 5 2 2" xfId="2768"/>
    <cellStyle name="Normal 5 3 3 5 2 3" xfId="2769"/>
    <cellStyle name="Normal 5 3 3 5 3" xfId="2770"/>
    <cellStyle name="Normal 5 3 3 5 3 2" xfId="2771"/>
    <cellStyle name="Normal 5 3 3 5 4" xfId="2772"/>
    <cellStyle name="Normal 5 3 3 5 5" xfId="2773"/>
    <cellStyle name="Normal 5 3 3 6" xfId="2774"/>
    <cellStyle name="Normal 5 3 3 6 2" xfId="2775"/>
    <cellStyle name="Normal 5 3 3 6 2 2" xfId="2776"/>
    <cellStyle name="Normal 5 3 3 6 3" xfId="2777"/>
    <cellStyle name="Normal 5 3 3 6 4" xfId="2778"/>
    <cellStyle name="Normal 5 3 3 7" xfId="2779"/>
    <cellStyle name="Normal 5 3 3 7 2" xfId="2780"/>
    <cellStyle name="Normal 5 3 3 7 3" xfId="2781"/>
    <cellStyle name="Normal 5 3 3 7 4" xfId="2782"/>
    <cellStyle name="Normal 5 3 3 8" xfId="2783"/>
    <cellStyle name="Normal 5 3 3 8 2" xfId="2784"/>
    <cellStyle name="Normal 5 3 3 8 3" xfId="2785"/>
    <cellStyle name="Normal 5 3 3 8 4" xfId="2786"/>
    <cellStyle name="Normal 5 3 3 9" xfId="2787"/>
    <cellStyle name="Normal 5 3 3 9 2" xfId="2788"/>
    <cellStyle name="Normal 5 3 3 9 3" xfId="2789"/>
    <cellStyle name="Normal 5 3 4" xfId="2790"/>
    <cellStyle name="Normal 5 3 4 10" xfId="2791"/>
    <cellStyle name="Normal 5 3 4 10 2" xfId="2792"/>
    <cellStyle name="Normal 5 3 4 11" xfId="2793"/>
    <cellStyle name="Normal 5 3 4 12" xfId="2794"/>
    <cellStyle name="Normal 5 3 4 2" xfId="2795"/>
    <cellStyle name="Normal 5 3 4 2 10" xfId="2796"/>
    <cellStyle name="Normal 5 3 4 2 2" xfId="2797"/>
    <cellStyle name="Normal 5 3 4 2 2 2" xfId="2798"/>
    <cellStyle name="Normal 5 3 4 2 2 2 2" xfId="2799"/>
    <cellStyle name="Normal 5 3 4 2 2 2 3" xfId="2800"/>
    <cellStyle name="Normal 5 3 4 2 2 2 4" xfId="2801"/>
    <cellStyle name="Normal 5 3 4 2 2 2 5" xfId="2802"/>
    <cellStyle name="Normal 5 3 4 2 2 3" xfId="2803"/>
    <cellStyle name="Normal 5 3 4 2 2 3 2" xfId="2804"/>
    <cellStyle name="Normal 5 3 4 2 2 3 3" xfId="2805"/>
    <cellStyle name="Normal 5 3 4 2 2 3 4" xfId="2806"/>
    <cellStyle name="Normal 5 3 4 2 2 4" xfId="2807"/>
    <cellStyle name="Normal 5 3 4 2 2 4 2" xfId="2808"/>
    <cellStyle name="Normal 5 3 4 2 2 4 3" xfId="2809"/>
    <cellStyle name="Normal 5 3 4 2 2 4 4" xfId="2810"/>
    <cellStyle name="Normal 5 3 4 2 2 5" xfId="2811"/>
    <cellStyle name="Normal 5 3 4 2 2 5 2" xfId="2812"/>
    <cellStyle name="Normal 5 3 4 2 2 5 3" xfId="2813"/>
    <cellStyle name="Normal 5 3 4 2 2 5 4" xfId="2814"/>
    <cellStyle name="Normal 5 3 4 2 2 6" xfId="2815"/>
    <cellStyle name="Normal 5 3 4 2 2 6 2" xfId="2816"/>
    <cellStyle name="Normal 5 3 4 2 2 6 3" xfId="2817"/>
    <cellStyle name="Normal 5 3 4 2 2 7" xfId="2818"/>
    <cellStyle name="Normal 5 3 4 2 2 7 2" xfId="2819"/>
    <cellStyle name="Normal 5 3 4 2 2 8" xfId="2820"/>
    <cellStyle name="Normal 5 3 4 2 3" xfId="2821"/>
    <cellStyle name="Normal 5 3 4 2 3 2" xfId="2822"/>
    <cellStyle name="Normal 5 3 4 2 3 2 2" xfId="2823"/>
    <cellStyle name="Normal 5 3 4 2 3 2 3" xfId="2824"/>
    <cellStyle name="Normal 5 3 4 2 3 2 4" xfId="2825"/>
    <cellStyle name="Normal 5 3 4 2 3 3" xfId="2826"/>
    <cellStyle name="Normal 5 3 4 2 3 3 2" xfId="2827"/>
    <cellStyle name="Normal 5 3 4 2 3 3 3" xfId="2828"/>
    <cellStyle name="Normal 5 3 4 2 3 3 4" xfId="2829"/>
    <cellStyle name="Normal 5 3 4 2 3 4" xfId="2830"/>
    <cellStyle name="Normal 5 3 4 2 3 4 2" xfId="2831"/>
    <cellStyle name="Normal 5 3 4 2 3 4 3" xfId="2832"/>
    <cellStyle name="Normal 5 3 4 2 3 4 4" xfId="2833"/>
    <cellStyle name="Normal 5 3 4 2 3 5" xfId="2834"/>
    <cellStyle name="Normal 5 3 4 2 3 5 2" xfId="2835"/>
    <cellStyle name="Normal 5 3 4 2 3 5 3" xfId="2836"/>
    <cellStyle name="Normal 5 3 4 2 3 6" xfId="2837"/>
    <cellStyle name="Normal 5 3 4 2 3 6 2" xfId="2838"/>
    <cellStyle name="Normal 5 3 4 2 3 7" xfId="2839"/>
    <cellStyle name="Normal 5 3 4 2 4" xfId="2840"/>
    <cellStyle name="Normal 5 3 4 2 4 2" xfId="2841"/>
    <cellStyle name="Normal 5 3 4 2 4 2 2" xfId="2842"/>
    <cellStyle name="Normal 5 3 4 2 4 2 3" xfId="2843"/>
    <cellStyle name="Normal 5 3 4 2 4 3" xfId="2844"/>
    <cellStyle name="Normal 5 3 4 2 4 3 2" xfId="2845"/>
    <cellStyle name="Normal 5 3 4 2 4 4" xfId="2846"/>
    <cellStyle name="Normal 5 3 4 2 5" xfId="2847"/>
    <cellStyle name="Normal 5 3 4 2 5 2" xfId="2848"/>
    <cellStyle name="Normal 5 3 4 2 5 2 2" xfId="2849"/>
    <cellStyle name="Normal 5 3 4 2 5 3" xfId="2850"/>
    <cellStyle name="Normal 5 3 4 2 5 4" xfId="2851"/>
    <cellStyle name="Normal 5 3 4 2 6" xfId="2852"/>
    <cellStyle name="Normal 5 3 4 2 6 2" xfId="2853"/>
    <cellStyle name="Normal 5 3 4 2 6 3" xfId="2854"/>
    <cellStyle name="Normal 5 3 4 2 6 4" xfId="2855"/>
    <cellStyle name="Normal 5 3 4 2 7" xfId="2856"/>
    <cellStyle name="Normal 5 3 4 2 7 2" xfId="2857"/>
    <cellStyle name="Normal 5 3 4 2 7 3" xfId="2858"/>
    <cellStyle name="Normal 5 3 4 2 8" xfId="2859"/>
    <cellStyle name="Normal 5 3 4 2 8 2" xfId="2860"/>
    <cellStyle name="Normal 5 3 4 2 9" xfId="2861"/>
    <cellStyle name="Normal 5 3 4 3" xfId="2862"/>
    <cellStyle name="Normal 5 3 4 3 2" xfId="2863"/>
    <cellStyle name="Normal 5 3 4 3 2 2" xfId="2864"/>
    <cellStyle name="Normal 5 3 4 3 2 3" xfId="2865"/>
    <cellStyle name="Normal 5 3 4 3 2 4" xfId="2866"/>
    <cellStyle name="Normal 5 3 4 3 2 5" xfId="2867"/>
    <cellStyle name="Normal 5 3 4 3 3" xfId="2868"/>
    <cellStyle name="Normal 5 3 4 3 3 2" xfId="2869"/>
    <cellStyle name="Normal 5 3 4 3 3 3" xfId="2870"/>
    <cellStyle name="Normal 5 3 4 3 3 4" xfId="2871"/>
    <cellStyle name="Normal 5 3 4 3 4" xfId="2872"/>
    <cellStyle name="Normal 5 3 4 3 4 2" xfId="2873"/>
    <cellStyle name="Normal 5 3 4 3 4 3" xfId="2874"/>
    <cellStyle name="Normal 5 3 4 3 4 4" xfId="2875"/>
    <cellStyle name="Normal 5 3 4 3 5" xfId="2876"/>
    <cellStyle name="Normal 5 3 4 3 5 2" xfId="2877"/>
    <cellStyle name="Normal 5 3 4 3 5 3" xfId="2878"/>
    <cellStyle name="Normal 5 3 4 3 5 4" xfId="2879"/>
    <cellStyle name="Normal 5 3 4 3 6" xfId="2880"/>
    <cellStyle name="Normal 5 3 4 3 6 2" xfId="2881"/>
    <cellStyle name="Normal 5 3 4 3 6 3" xfId="2882"/>
    <cellStyle name="Normal 5 3 4 3 6 4" xfId="2883"/>
    <cellStyle name="Normal 5 3 4 3 7" xfId="2884"/>
    <cellStyle name="Normal 5 3 4 3 7 2" xfId="2885"/>
    <cellStyle name="Normal 5 3 4 3 7 3" xfId="2886"/>
    <cellStyle name="Normal 5 3 4 3 8" xfId="2887"/>
    <cellStyle name="Normal 5 3 4 3 8 2" xfId="2888"/>
    <cellStyle name="Normal 5 3 4 3 9" xfId="2889"/>
    <cellStyle name="Normal 5 3 4 4" xfId="2890"/>
    <cellStyle name="Normal 5 3 4 4 2" xfId="2891"/>
    <cellStyle name="Normal 5 3 4 4 2 2" xfId="2892"/>
    <cellStyle name="Normal 5 3 4 4 2 3" xfId="2893"/>
    <cellStyle name="Normal 5 3 4 4 2 4" xfId="2894"/>
    <cellStyle name="Normal 5 3 4 4 2 5" xfId="2895"/>
    <cellStyle name="Normal 5 3 4 4 3" xfId="2896"/>
    <cellStyle name="Normal 5 3 4 4 3 2" xfId="2897"/>
    <cellStyle name="Normal 5 3 4 4 3 3" xfId="2898"/>
    <cellStyle name="Normal 5 3 4 4 3 4" xfId="2899"/>
    <cellStyle name="Normal 5 3 4 4 4" xfId="2900"/>
    <cellStyle name="Normal 5 3 4 4 4 2" xfId="2901"/>
    <cellStyle name="Normal 5 3 4 4 4 3" xfId="2902"/>
    <cellStyle name="Normal 5 3 4 4 4 4" xfId="2903"/>
    <cellStyle name="Normal 5 3 4 4 5" xfId="2904"/>
    <cellStyle name="Normal 5 3 4 4 5 2" xfId="2905"/>
    <cellStyle name="Normal 5 3 4 4 5 3" xfId="2906"/>
    <cellStyle name="Normal 5 3 4 4 6" xfId="2907"/>
    <cellStyle name="Normal 5 3 4 4 6 2" xfId="2908"/>
    <cellStyle name="Normal 5 3 4 4 7" xfId="2909"/>
    <cellStyle name="Normal 5 3 4 5" xfId="2910"/>
    <cellStyle name="Normal 5 3 4 5 2" xfId="2911"/>
    <cellStyle name="Normal 5 3 4 5 2 2" xfId="2912"/>
    <cellStyle name="Normal 5 3 4 5 2 3" xfId="2913"/>
    <cellStyle name="Normal 5 3 4 5 3" xfId="2914"/>
    <cellStyle name="Normal 5 3 4 5 3 2" xfId="2915"/>
    <cellStyle name="Normal 5 3 4 5 4" xfId="2916"/>
    <cellStyle name="Normal 5 3 4 5 5" xfId="2917"/>
    <cellStyle name="Normal 5 3 4 6" xfId="2918"/>
    <cellStyle name="Normal 5 3 4 6 2" xfId="2919"/>
    <cellStyle name="Normal 5 3 4 6 2 2" xfId="2920"/>
    <cellStyle name="Normal 5 3 4 6 3" xfId="2921"/>
    <cellStyle name="Normal 5 3 4 6 4" xfId="2922"/>
    <cellStyle name="Normal 5 3 4 7" xfId="2923"/>
    <cellStyle name="Normal 5 3 4 7 2" xfId="2924"/>
    <cellStyle name="Normal 5 3 4 7 3" xfId="2925"/>
    <cellStyle name="Normal 5 3 4 7 4" xfId="2926"/>
    <cellStyle name="Normal 5 3 4 8" xfId="2927"/>
    <cellStyle name="Normal 5 3 4 8 2" xfId="2928"/>
    <cellStyle name="Normal 5 3 4 8 3" xfId="2929"/>
    <cellStyle name="Normal 5 3 4 8 4" xfId="2930"/>
    <cellStyle name="Normal 5 3 4 9" xfId="2931"/>
    <cellStyle name="Normal 5 3 4 9 2" xfId="2932"/>
    <cellStyle name="Normal 5 3 4 9 3" xfId="2933"/>
    <cellStyle name="Normal 5 4" xfId="2934"/>
    <cellStyle name="Normal 5 4 2" xfId="2935"/>
    <cellStyle name="Normal 5 4 2 10" xfId="2936"/>
    <cellStyle name="Normal 5 4 2 10 2" xfId="2937"/>
    <cellStyle name="Normal 5 4 2 11" xfId="2938"/>
    <cellStyle name="Normal 5 4 2 12" xfId="2939"/>
    <cellStyle name="Normal 5 4 2 2" xfId="2940"/>
    <cellStyle name="Normal 5 4 2 2 10" xfId="2941"/>
    <cellStyle name="Normal 5 4 2 2 2" xfId="2942"/>
    <cellStyle name="Normal 5 4 2 2 2 2" xfId="2943"/>
    <cellStyle name="Normal 5 4 2 2 2 2 2" xfId="2944"/>
    <cellStyle name="Normal 5 4 2 2 2 2 3" xfId="2945"/>
    <cellStyle name="Normal 5 4 2 2 2 2 4" xfId="2946"/>
    <cellStyle name="Normal 5 4 2 2 2 2 5" xfId="2947"/>
    <cellStyle name="Normal 5 4 2 2 2 3" xfId="2948"/>
    <cellStyle name="Normal 5 4 2 2 2 3 2" xfId="2949"/>
    <cellStyle name="Normal 5 4 2 2 2 3 3" xfId="2950"/>
    <cellStyle name="Normal 5 4 2 2 2 3 4" xfId="2951"/>
    <cellStyle name="Normal 5 4 2 2 2 4" xfId="2952"/>
    <cellStyle name="Normal 5 4 2 2 2 4 2" xfId="2953"/>
    <cellStyle name="Normal 5 4 2 2 2 4 3" xfId="2954"/>
    <cellStyle name="Normal 5 4 2 2 2 4 4" xfId="2955"/>
    <cellStyle name="Normal 5 4 2 2 2 5" xfId="2956"/>
    <cellStyle name="Normal 5 4 2 2 2 5 2" xfId="2957"/>
    <cellStyle name="Normal 5 4 2 2 2 5 3" xfId="2958"/>
    <cellStyle name="Normal 5 4 2 2 2 5 4" xfId="2959"/>
    <cellStyle name="Normal 5 4 2 2 2 6" xfId="2960"/>
    <cellStyle name="Normal 5 4 2 2 2 6 2" xfId="2961"/>
    <cellStyle name="Normal 5 4 2 2 2 6 3" xfId="2962"/>
    <cellStyle name="Normal 5 4 2 2 2 7" xfId="2963"/>
    <cellStyle name="Normal 5 4 2 2 2 7 2" xfId="2964"/>
    <cellStyle name="Normal 5 4 2 2 2 8" xfId="2965"/>
    <cellStyle name="Normal 5 4 2 2 3" xfId="2966"/>
    <cellStyle name="Normal 5 4 2 2 3 2" xfId="2967"/>
    <cellStyle name="Normal 5 4 2 2 3 2 2" xfId="2968"/>
    <cellStyle name="Normal 5 4 2 2 3 2 3" xfId="2969"/>
    <cellStyle name="Normal 5 4 2 2 3 2 4" xfId="2970"/>
    <cellStyle name="Normal 5 4 2 2 3 3" xfId="2971"/>
    <cellStyle name="Normal 5 4 2 2 3 3 2" xfId="2972"/>
    <cellStyle name="Normal 5 4 2 2 3 3 3" xfId="2973"/>
    <cellStyle name="Normal 5 4 2 2 3 3 4" xfId="2974"/>
    <cellStyle name="Normal 5 4 2 2 3 4" xfId="2975"/>
    <cellStyle name="Normal 5 4 2 2 3 4 2" xfId="2976"/>
    <cellStyle name="Normal 5 4 2 2 3 4 3" xfId="2977"/>
    <cellStyle name="Normal 5 4 2 2 3 4 4" xfId="2978"/>
    <cellStyle name="Normal 5 4 2 2 3 5" xfId="2979"/>
    <cellStyle name="Normal 5 4 2 2 3 5 2" xfId="2980"/>
    <cellStyle name="Normal 5 4 2 2 3 5 3" xfId="2981"/>
    <cellStyle name="Normal 5 4 2 2 3 6" xfId="2982"/>
    <cellStyle name="Normal 5 4 2 2 3 6 2" xfId="2983"/>
    <cellStyle name="Normal 5 4 2 2 3 7" xfId="2984"/>
    <cellStyle name="Normal 5 4 2 2 4" xfId="2985"/>
    <cellStyle name="Normal 5 4 2 2 4 2" xfId="2986"/>
    <cellStyle name="Normal 5 4 2 2 4 2 2" xfId="2987"/>
    <cellStyle name="Normal 5 4 2 2 4 2 3" xfId="2988"/>
    <cellStyle name="Normal 5 4 2 2 4 3" xfId="2989"/>
    <cellStyle name="Normal 5 4 2 2 4 3 2" xfId="2990"/>
    <cellStyle name="Normal 5 4 2 2 4 4" xfId="2991"/>
    <cellStyle name="Normal 5 4 2 2 5" xfId="2992"/>
    <cellStyle name="Normal 5 4 2 2 5 2" xfId="2993"/>
    <cellStyle name="Normal 5 4 2 2 5 2 2" xfId="2994"/>
    <cellStyle name="Normal 5 4 2 2 5 3" xfId="2995"/>
    <cellStyle name="Normal 5 4 2 2 5 4" xfId="2996"/>
    <cellStyle name="Normal 5 4 2 2 6" xfId="2997"/>
    <cellStyle name="Normal 5 4 2 2 6 2" xfId="2998"/>
    <cellStyle name="Normal 5 4 2 2 6 3" xfId="2999"/>
    <cellStyle name="Normal 5 4 2 2 6 4" xfId="3000"/>
    <cellStyle name="Normal 5 4 2 2 7" xfId="3001"/>
    <cellStyle name="Normal 5 4 2 2 7 2" xfId="3002"/>
    <cellStyle name="Normal 5 4 2 2 7 3" xfId="3003"/>
    <cellStyle name="Normal 5 4 2 2 8" xfId="3004"/>
    <cellStyle name="Normal 5 4 2 2 8 2" xfId="3005"/>
    <cellStyle name="Normal 5 4 2 2 9" xfId="3006"/>
    <cellStyle name="Normal 5 4 2 3" xfId="3007"/>
    <cellStyle name="Normal 5 4 2 3 2" xfId="3008"/>
    <cellStyle name="Normal 5 4 2 3 2 2" xfId="3009"/>
    <cellStyle name="Normal 5 4 2 3 2 3" xfId="3010"/>
    <cellStyle name="Normal 5 4 2 3 2 4" xfId="3011"/>
    <cellStyle name="Normal 5 4 2 3 2 5" xfId="3012"/>
    <cellStyle name="Normal 5 4 2 3 3" xfId="3013"/>
    <cellStyle name="Normal 5 4 2 3 3 2" xfId="3014"/>
    <cellStyle name="Normal 5 4 2 3 3 3" xfId="3015"/>
    <cellStyle name="Normal 5 4 2 3 3 4" xfId="3016"/>
    <cellStyle name="Normal 5 4 2 3 4" xfId="3017"/>
    <cellStyle name="Normal 5 4 2 3 4 2" xfId="3018"/>
    <cellStyle name="Normal 5 4 2 3 4 3" xfId="3019"/>
    <cellStyle name="Normal 5 4 2 3 4 4" xfId="3020"/>
    <cellStyle name="Normal 5 4 2 3 5" xfId="3021"/>
    <cellStyle name="Normal 5 4 2 3 5 2" xfId="3022"/>
    <cellStyle name="Normal 5 4 2 3 5 3" xfId="3023"/>
    <cellStyle name="Normal 5 4 2 3 5 4" xfId="3024"/>
    <cellStyle name="Normal 5 4 2 3 6" xfId="3025"/>
    <cellStyle name="Normal 5 4 2 3 6 2" xfId="3026"/>
    <cellStyle name="Normal 5 4 2 3 6 3" xfId="3027"/>
    <cellStyle name="Normal 5 4 2 3 6 4" xfId="3028"/>
    <cellStyle name="Normal 5 4 2 3 7" xfId="3029"/>
    <cellStyle name="Normal 5 4 2 3 7 2" xfId="3030"/>
    <cellStyle name="Normal 5 4 2 3 7 3" xfId="3031"/>
    <cellStyle name="Normal 5 4 2 3 8" xfId="3032"/>
    <cellStyle name="Normal 5 4 2 3 8 2" xfId="3033"/>
    <cellStyle name="Normal 5 4 2 3 9" xfId="3034"/>
    <cellStyle name="Normal 5 4 2 4" xfId="3035"/>
    <cellStyle name="Normal 5 4 2 4 2" xfId="3036"/>
    <cellStyle name="Normal 5 4 2 4 2 2" xfId="3037"/>
    <cellStyle name="Normal 5 4 2 4 2 3" xfId="3038"/>
    <cellStyle name="Normal 5 4 2 4 2 4" xfId="3039"/>
    <cellStyle name="Normal 5 4 2 4 2 5" xfId="3040"/>
    <cellStyle name="Normal 5 4 2 4 3" xfId="3041"/>
    <cellStyle name="Normal 5 4 2 4 3 2" xfId="3042"/>
    <cellStyle name="Normal 5 4 2 4 3 3" xfId="3043"/>
    <cellStyle name="Normal 5 4 2 4 3 4" xfId="3044"/>
    <cellStyle name="Normal 5 4 2 4 4" xfId="3045"/>
    <cellStyle name="Normal 5 4 2 4 4 2" xfId="3046"/>
    <cellStyle name="Normal 5 4 2 4 4 3" xfId="3047"/>
    <cellStyle name="Normal 5 4 2 4 4 4" xfId="3048"/>
    <cellStyle name="Normal 5 4 2 4 5" xfId="3049"/>
    <cellStyle name="Normal 5 4 2 4 5 2" xfId="3050"/>
    <cellStyle name="Normal 5 4 2 4 5 3" xfId="3051"/>
    <cellStyle name="Normal 5 4 2 4 6" xfId="3052"/>
    <cellStyle name="Normal 5 4 2 4 6 2" xfId="3053"/>
    <cellStyle name="Normal 5 4 2 4 7" xfId="3054"/>
    <cellStyle name="Normal 5 4 2 5" xfId="3055"/>
    <cellStyle name="Normal 5 4 2 5 2" xfId="3056"/>
    <cellStyle name="Normal 5 4 2 5 2 2" xfId="3057"/>
    <cellStyle name="Normal 5 4 2 5 2 3" xfId="3058"/>
    <cellStyle name="Normal 5 4 2 5 3" xfId="3059"/>
    <cellStyle name="Normal 5 4 2 5 3 2" xfId="3060"/>
    <cellStyle name="Normal 5 4 2 5 4" xfId="3061"/>
    <cellStyle name="Normal 5 4 2 5 5" xfId="3062"/>
    <cellStyle name="Normal 5 4 2 6" xfId="3063"/>
    <cellStyle name="Normal 5 4 2 6 2" xfId="3064"/>
    <cellStyle name="Normal 5 4 2 6 2 2" xfId="3065"/>
    <cellStyle name="Normal 5 4 2 6 3" xfId="3066"/>
    <cellStyle name="Normal 5 4 2 6 4" xfId="3067"/>
    <cellStyle name="Normal 5 4 2 7" xfId="3068"/>
    <cellStyle name="Normal 5 4 2 7 2" xfId="3069"/>
    <cellStyle name="Normal 5 4 2 7 3" xfId="3070"/>
    <cellStyle name="Normal 5 4 2 7 4" xfId="3071"/>
    <cellStyle name="Normal 5 4 2 8" xfId="3072"/>
    <cellStyle name="Normal 5 4 2 8 2" xfId="3073"/>
    <cellStyle name="Normal 5 4 2 8 3" xfId="3074"/>
    <cellStyle name="Normal 5 4 2 8 4" xfId="3075"/>
    <cellStyle name="Normal 5 4 2 9" xfId="3076"/>
    <cellStyle name="Normal 5 4 2 9 2" xfId="3077"/>
    <cellStyle name="Normal 5 4 2 9 3" xfId="3078"/>
    <cellStyle name="Normal 5 4 3" xfId="3079"/>
    <cellStyle name="Normal 5 4 3 10" xfId="3080"/>
    <cellStyle name="Normal 5 4 3 10 2" xfId="3081"/>
    <cellStyle name="Normal 5 4 3 11" xfId="3082"/>
    <cellStyle name="Normal 5 4 3 12" xfId="3083"/>
    <cellStyle name="Normal 5 4 3 2" xfId="3084"/>
    <cellStyle name="Normal 5 4 3 2 10" xfId="3085"/>
    <cellStyle name="Normal 5 4 3 2 2" xfId="3086"/>
    <cellStyle name="Normal 5 4 3 2 2 2" xfId="3087"/>
    <cellStyle name="Normal 5 4 3 2 2 2 2" xfId="3088"/>
    <cellStyle name="Normal 5 4 3 2 2 2 3" xfId="3089"/>
    <cellStyle name="Normal 5 4 3 2 2 2 4" xfId="3090"/>
    <cellStyle name="Normal 5 4 3 2 2 2 5" xfId="3091"/>
    <cellStyle name="Normal 5 4 3 2 2 3" xfId="3092"/>
    <cellStyle name="Normal 5 4 3 2 2 3 2" xfId="3093"/>
    <cellStyle name="Normal 5 4 3 2 2 3 3" xfId="3094"/>
    <cellStyle name="Normal 5 4 3 2 2 3 4" xfId="3095"/>
    <cellStyle name="Normal 5 4 3 2 2 4" xfId="3096"/>
    <cellStyle name="Normal 5 4 3 2 2 4 2" xfId="3097"/>
    <cellStyle name="Normal 5 4 3 2 2 4 3" xfId="3098"/>
    <cellStyle name="Normal 5 4 3 2 2 4 4" xfId="3099"/>
    <cellStyle name="Normal 5 4 3 2 2 5" xfId="3100"/>
    <cellStyle name="Normal 5 4 3 2 2 5 2" xfId="3101"/>
    <cellStyle name="Normal 5 4 3 2 2 5 3" xfId="3102"/>
    <cellStyle name="Normal 5 4 3 2 2 5 4" xfId="3103"/>
    <cellStyle name="Normal 5 4 3 2 2 6" xfId="3104"/>
    <cellStyle name="Normal 5 4 3 2 2 6 2" xfId="3105"/>
    <cellStyle name="Normal 5 4 3 2 2 6 3" xfId="3106"/>
    <cellStyle name="Normal 5 4 3 2 2 7" xfId="3107"/>
    <cellStyle name="Normal 5 4 3 2 2 7 2" xfId="3108"/>
    <cellStyle name="Normal 5 4 3 2 2 8" xfId="3109"/>
    <cellStyle name="Normal 5 4 3 2 3" xfId="3110"/>
    <cellStyle name="Normal 5 4 3 2 3 2" xfId="3111"/>
    <cellStyle name="Normal 5 4 3 2 3 2 2" xfId="3112"/>
    <cellStyle name="Normal 5 4 3 2 3 2 3" xfId="3113"/>
    <cellStyle name="Normal 5 4 3 2 3 2 4" xfId="3114"/>
    <cellStyle name="Normal 5 4 3 2 3 3" xfId="3115"/>
    <cellStyle name="Normal 5 4 3 2 3 3 2" xfId="3116"/>
    <cellStyle name="Normal 5 4 3 2 3 3 3" xfId="3117"/>
    <cellStyle name="Normal 5 4 3 2 3 3 4" xfId="3118"/>
    <cellStyle name="Normal 5 4 3 2 3 4" xfId="3119"/>
    <cellStyle name="Normal 5 4 3 2 3 4 2" xfId="3120"/>
    <cellStyle name="Normal 5 4 3 2 3 4 3" xfId="3121"/>
    <cellStyle name="Normal 5 4 3 2 3 4 4" xfId="3122"/>
    <cellStyle name="Normal 5 4 3 2 3 5" xfId="3123"/>
    <cellStyle name="Normal 5 4 3 2 3 5 2" xfId="3124"/>
    <cellStyle name="Normal 5 4 3 2 3 5 3" xfId="3125"/>
    <cellStyle name="Normal 5 4 3 2 3 6" xfId="3126"/>
    <cellStyle name="Normal 5 4 3 2 3 6 2" xfId="3127"/>
    <cellStyle name="Normal 5 4 3 2 3 7" xfId="3128"/>
    <cellStyle name="Normal 5 4 3 2 4" xfId="3129"/>
    <cellStyle name="Normal 5 4 3 2 4 2" xfId="3130"/>
    <cellStyle name="Normal 5 4 3 2 4 2 2" xfId="3131"/>
    <cellStyle name="Normal 5 4 3 2 4 2 3" xfId="3132"/>
    <cellStyle name="Normal 5 4 3 2 4 3" xfId="3133"/>
    <cellStyle name="Normal 5 4 3 2 4 3 2" xfId="3134"/>
    <cellStyle name="Normal 5 4 3 2 4 4" xfId="3135"/>
    <cellStyle name="Normal 5 4 3 2 5" xfId="3136"/>
    <cellStyle name="Normal 5 4 3 2 5 2" xfId="3137"/>
    <cellStyle name="Normal 5 4 3 2 5 2 2" xfId="3138"/>
    <cellStyle name="Normal 5 4 3 2 5 3" xfId="3139"/>
    <cellStyle name="Normal 5 4 3 2 5 4" xfId="3140"/>
    <cellStyle name="Normal 5 4 3 2 6" xfId="3141"/>
    <cellStyle name="Normal 5 4 3 2 6 2" xfId="3142"/>
    <cellStyle name="Normal 5 4 3 2 6 3" xfId="3143"/>
    <cellStyle name="Normal 5 4 3 2 6 4" xfId="3144"/>
    <cellStyle name="Normal 5 4 3 2 7" xfId="3145"/>
    <cellStyle name="Normal 5 4 3 2 7 2" xfId="3146"/>
    <cellStyle name="Normal 5 4 3 2 7 3" xfId="3147"/>
    <cellStyle name="Normal 5 4 3 2 8" xfId="3148"/>
    <cellStyle name="Normal 5 4 3 2 8 2" xfId="3149"/>
    <cellStyle name="Normal 5 4 3 2 9" xfId="3150"/>
    <cellStyle name="Normal 5 4 3 3" xfId="3151"/>
    <cellStyle name="Normal 5 4 3 3 2" xfId="3152"/>
    <cellStyle name="Normal 5 4 3 3 2 2" xfId="3153"/>
    <cellStyle name="Normal 5 4 3 3 2 3" xfId="3154"/>
    <cellStyle name="Normal 5 4 3 3 2 4" xfId="3155"/>
    <cellStyle name="Normal 5 4 3 3 2 5" xfId="3156"/>
    <cellStyle name="Normal 5 4 3 3 3" xfId="3157"/>
    <cellStyle name="Normal 5 4 3 3 3 2" xfId="3158"/>
    <cellStyle name="Normal 5 4 3 3 3 3" xfId="3159"/>
    <cellStyle name="Normal 5 4 3 3 3 4" xfId="3160"/>
    <cellStyle name="Normal 5 4 3 3 4" xfId="3161"/>
    <cellStyle name="Normal 5 4 3 3 4 2" xfId="3162"/>
    <cellStyle name="Normal 5 4 3 3 4 3" xfId="3163"/>
    <cellStyle name="Normal 5 4 3 3 4 4" xfId="3164"/>
    <cellStyle name="Normal 5 4 3 3 5" xfId="3165"/>
    <cellStyle name="Normal 5 4 3 3 5 2" xfId="3166"/>
    <cellStyle name="Normal 5 4 3 3 5 3" xfId="3167"/>
    <cellStyle name="Normal 5 4 3 3 5 4" xfId="3168"/>
    <cellStyle name="Normal 5 4 3 3 6" xfId="3169"/>
    <cellStyle name="Normal 5 4 3 3 6 2" xfId="3170"/>
    <cellStyle name="Normal 5 4 3 3 6 3" xfId="3171"/>
    <cellStyle name="Normal 5 4 3 3 6 4" xfId="3172"/>
    <cellStyle name="Normal 5 4 3 3 7" xfId="3173"/>
    <cellStyle name="Normal 5 4 3 3 7 2" xfId="3174"/>
    <cellStyle name="Normal 5 4 3 3 7 3" xfId="3175"/>
    <cellStyle name="Normal 5 4 3 3 8" xfId="3176"/>
    <cellStyle name="Normal 5 4 3 3 8 2" xfId="3177"/>
    <cellStyle name="Normal 5 4 3 3 9" xfId="3178"/>
    <cellStyle name="Normal 5 4 3 4" xfId="3179"/>
    <cellStyle name="Normal 5 4 3 4 2" xfId="3180"/>
    <cellStyle name="Normal 5 4 3 4 2 2" xfId="3181"/>
    <cellStyle name="Normal 5 4 3 4 2 3" xfId="3182"/>
    <cellStyle name="Normal 5 4 3 4 2 4" xfId="3183"/>
    <cellStyle name="Normal 5 4 3 4 2 5" xfId="3184"/>
    <cellStyle name="Normal 5 4 3 4 3" xfId="3185"/>
    <cellStyle name="Normal 5 4 3 4 3 2" xfId="3186"/>
    <cellStyle name="Normal 5 4 3 4 3 3" xfId="3187"/>
    <cellStyle name="Normal 5 4 3 4 3 4" xfId="3188"/>
    <cellStyle name="Normal 5 4 3 4 4" xfId="3189"/>
    <cellStyle name="Normal 5 4 3 4 4 2" xfId="3190"/>
    <cellStyle name="Normal 5 4 3 4 4 3" xfId="3191"/>
    <cellStyle name="Normal 5 4 3 4 4 4" xfId="3192"/>
    <cellStyle name="Normal 5 4 3 4 5" xfId="3193"/>
    <cellStyle name="Normal 5 4 3 4 5 2" xfId="3194"/>
    <cellStyle name="Normal 5 4 3 4 5 3" xfId="3195"/>
    <cellStyle name="Normal 5 4 3 4 6" xfId="3196"/>
    <cellStyle name="Normal 5 4 3 4 6 2" xfId="3197"/>
    <cellStyle name="Normal 5 4 3 4 7" xfId="3198"/>
    <cellStyle name="Normal 5 4 3 5" xfId="3199"/>
    <cellStyle name="Normal 5 4 3 5 2" xfId="3200"/>
    <cellStyle name="Normal 5 4 3 5 2 2" xfId="3201"/>
    <cellStyle name="Normal 5 4 3 5 2 3" xfId="3202"/>
    <cellStyle name="Normal 5 4 3 5 3" xfId="3203"/>
    <cellStyle name="Normal 5 4 3 5 3 2" xfId="3204"/>
    <cellStyle name="Normal 5 4 3 5 4" xfId="3205"/>
    <cellStyle name="Normal 5 4 3 5 5" xfId="3206"/>
    <cellStyle name="Normal 5 4 3 6" xfId="3207"/>
    <cellStyle name="Normal 5 4 3 6 2" xfId="3208"/>
    <cellStyle name="Normal 5 4 3 6 2 2" xfId="3209"/>
    <cellStyle name="Normal 5 4 3 6 3" xfId="3210"/>
    <cellStyle name="Normal 5 4 3 6 4" xfId="3211"/>
    <cellStyle name="Normal 5 4 3 7" xfId="3212"/>
    <cellStyle name="Normal 5 4 3 7 2" xfId="3213"/>
    <cellStyle name="Normal 5 4 3 7 3" xfId="3214"/>
    <cellStyle name="Normal 5 4 3 7 4" xfId="3215"/>
    <cellStyle name="Normal 5 4 3 8" xfId="3216"/>
    <cellStyle name="Normal 5 4 3 8 2" xfId="3217"/>
    <cellStyle name="Normal 5 4 3 8 3" xfId="3218"/>
    <cellStyle name="Normal 5 4 3 8 4" xfId="3219"/>
    <cellStyle name="Normal 5 4 3 9" xfId="3220"/>
    <cellStyle name="Normal 5 4 3 9 2" xfId="3221"/>
    <cellStyle name="Normal 5 4 3 9 3" xfId="3222"/>
    <cellStyle name="Normal 5 5" xfId="3223"/>
    <cellStyle name="Normal 5 5 2" xfId="3224"/>
    <cellStyle name="Normal 5 5 2 10" xfId="3225"/>
    <cellStyle name="Normal 5 5 2 10 2" xfId="3226"/>
    <cellStyle name="Normal 5 5 2 11" xfId="3227"/>
    <cellStyle name="Normal 5 5 2 12" xfId="3228"/>
    <cellStyle name="Normal 5 5 2 2" xfId="3229"/>
    <cellStyle name="Normal 5 5 2 2 10" xfId="3230"/>
    <cellStyle name="Normal 5 5 2 2 2" xfId="3231"/>
    <cellStyle name="Normal 5 5 2 2 2 2" xfId="3232"/>
    <cellStyle name="Normal 5 5 2 2 2 2 2" xfId="3233"/>
    <cellStyle name="Normal 5 5 2 2 2 2 3" xfId="3234"/>
    <cellStyle name="Normal 5 5 2 2 2 2 4" xfId="3235"/>
    <cellStyle name="Normal 5 5 2 2 2 2 5" xfId="3236"/>
    <cellStyle name="Normal 5 5 2 2 2 3" xfId="3237"/>
    <cellStyle name="Normal 5 5 2 2 2 3 2" xfId="3238"/>
    <cellStyle name="Normal 5 5 2 2 2 3 3" xfId="3239"/>
    <cellStyle name="Normal 5 5 2 2 2 3 4" xfId="3240"/>
    <cellStyle name="Normal 5 5 2 2 2 4" xfId="3241"/>
    <cellStyle name="Normal 5 5 2 2 2 4 2" xfId="3242"/>
    <cellStyle name="Normal 5 5 2 2 2 4 3" xfId="3243"/>
    <cellStyle name="Normal 5 5 2 2 2 4 4" xfId="3244"/>
    <cellStyle name="Normal 5 5 2 2 2 5" xfId="3245"/>
    <cellStyle name="Normal 5 5 2 2 2 5 2" xfId="3246"/>
    <cellStyle name="Normal 5 5 2 2 2 5 3" xfId="3247"/>
    <cellStyle name="Normal 5 5 2 2 2 5 4" xfId="3248"/>
    <cellStyle name="Normal 5 5 2 2 2 6" xfId="3249"/>
    <cellStyle name="Normal 5 5 2 2 2 6 2" xfId="3250"/>
    <cellStyle name="Normal 5 5 2 2 2 6 3" xfId="3251"/>
    <cellStyle name="Normal 5 5 2 2 2 7" xfId="3252"/>
    <cellStyle name="Normal 5 5 2 2 2 7 2" xfId="3253"/>
    <cellStyle name="Normal 5 5 2 2 2 8" xfId="3254"/>
    <cellStyle name="Normal 5 5 2 2 3" xfId="3255"/>
    <cellStyle name="Normal 5 5 2 2 3 2" xfId="3256"/>
    <cellStyle name="Normal 5 5 2 2 3 2 2" xfId="3257"/>
    <cellStyle name="Normal 5 5 2 2 3 2 3" xfId="3258"/>
    <cellStyle name="Normal 5 5 2 2 3 2 4" xfId="3259"/>
    <cellStyle name="Normal 5 5 2 2 3 3" xfId="3260"/>
    <cellStyle name="Normal 5 5 2 2 3 3 2" xfId="3261"/>
    <cellStyle name="Normal 5 5 2 2 3 3 3" xfId="3262"/>
    <cellStyle name="Normal 5 5 2 2 3 3 4" xfId="3263"/>
    <cellStyle name="Normal 5 5 2 2 3 4" xfId="3264"/>
    <cellStyle name="Normal 5 5 2 2 3 4 2" xfId="3265"/>
    <cellStyle name="Normal 5 5 2 2 3 4 3" xfId="3266"/>
    <cellStyle name="Normal 5 5 2 2 3 4 4" xfId="3267"/>
    <cellStyle name="Normal 5 5 2 2 3 5" xfId="3268"/>
    <cellStyle name="Normal 5 5 2 2 3 5 2" xfId="3269"/>
    <cellStyle name="Normal 5 5 2 2 3 5 3" xfId="3270"/>
    <cellStyle name="Normal 5 5 2 2 3 6" xfId="3271"/>
    <cellStyle name="Normal 5 5 2 2 3 6 2" xfId="3272"/>
    <cellStyle name="Normal 5 5 2 2 3 7" xfId="3273"/>
    <cellStyle name="Normal 5 5 2 2 4" xfId="3274"/>
    <cellStyle name="Normal 5 5 2 2 4 2" xfId="3275"/>
    <cellStyle name="Normal 5 5 2 2 4 2 2" xfId="3276"/>
    <cellStyle name="Normal 5 5 2 2 4 2 3" xfId="3277"/>
    <cellStyle name="Normal 5 5 2 2 4 3" xfId="3278"/>
    <cellStyle name="Normal 5 5 2 2 4 3 2" xfId="3279"/>
    <cellStyle name="Normal 5 5 2 2 4 4" xfId="3280"/>
    <cellStyle name="Normal 5 5 2 2 5" xfId="3281"/>
    <cellStyle name="Normal 5 5 2 2 5 2" xfId="3282"/>
    <cellStyle name="Normal 5 5 2 2 5 2 2" xfId="3283"/>
    <cellStyle name="Normal 5 5 2 2 5 3" xfId="3284"/>
    <cellStyle name="Normal 5 5 2 2 5 4" xfId="3285"/>
    <cellStyle name="Normal 5 5 2 2 6" xfId="3286"/>
    <cellStyle name="Normal 5 5 2 2 6 2" xfId="3287"/>
    <cellStyle name="Normal 5 5 2 2 6 3" xfId="3288"/>
    <cellStyle name="Normal 5 5 2 2 6 4" xfId="3289"/>
    <cellStyle name="Normal 5 5 2 2 7" xfId="3290"/>
    <cellStyle name="Normal 5 5 2 2 7 2" xfId="3291"/>
    <cellStyle name="Normal 5 5 2 2 7 3" xfId="3292"/>
    <cellStyle name="Normal 5 5 2 2 8" xfId="3293"/>
    <cellStyle name="Normal 5 5 2 2 8 2" xfId="3294"/>
    <cellStyle name="Normal 5 5 2 2 9" xfId="3295"/>
    <cellStyle name="Normal 5 5 2 3" xfId="3296"/>
    <cellStyle name="Normal 5 5 2 3 2" xfId="3297"/>
    <cellStyle name="Normal 5 5 2 3 2 2" xfId="3298"/>
    <cellStyle name="Normal 5 5 2 3 2 3" xfId="3299"/>
    <cellStyle name="Normal 5 5 2 3 2 4" xfId="3300"/>
    <cellStyle name="Normal 5 5 2 3 2 5" xfId="3301"/>
    <cellStyle name="Normal 5 5 2 3 3" xfId="3302"/>
    <cellStyle name="Normal 5 5 2 3 3 2" xfId="3303"/>
    <cellStyle name="Normal 5 5 2 3 3 3" xfId="3304"/>
    <cellStyle name="Normal 5 5 2 3 3 4" xfId="3305"/>
    <cellStyle name="Normal 5 5 2 3 4" xfId="3306"/>
    <cellStyle name="Normal 5 5 2 3 4 2" xfId="3307"/>
    <cellStyle name="Normal 5 5 2 3 4 3" xfId="3308"/>
    <cellStyle name="Normal 5 5 2 3 4 4" xfId="3309"/>
    <cellStyle name="Normal 5 5 2 3 5" xfId="3310"/>
    <cellStyle name="Normal 5 5 2 3 5 2" xfId="3311"/>
    <cellStyle name="Normal 5 5 2 3 5 3" xfId="3312"/>
    <cellStyle name="Normal 5 5 2 3 5 4" xfId="3313"/>
    <cellStyle name="Normal 5 5 2 3 6" xfId="3314"/>
    <cellStyle name="Normal 5 5 2 3 6 2" xfId="3315"/>
    <cellStyle name="Normal 5 5 2 3 6 3" xfId="3316"/>
    <cellStyle name="Normal 5 5 2 3 6 4" xfId="3317"/>
    <cellStyle name="Normal 5 5 2 3 7" xfId="3318"/>
    <cellStyle name="Normal 5 5 2 3 7 2" xfId="3319"/>
    <cellStyle name="Normal 5 5 2 3 7 3" xfId="3320"/>
    <cellStyle name="Normal 5 5 2 3 8" xfId="3321"/>
    <cellStyle name="Normal 5 5 2 3 8 2" xfId="3322"/>
    <cellStyle name="Normal 5 5 2 3 9" xfId="3323"/>
    <cellStyle name="Normal 5 5 2 4" xfId="3324"/>
    <cellStyle name="Normal 5 5 2 4 2" xfId="3325"/>
    <cellStyle name="Normal 5 5 2 4 2 2" xfId="3326"/>
    <cellStyle name="Normal 5 5 2 4 2 3" xfId="3327"/>
    <cellStyle name="Normal 5 5 2 4 2 4" xfId="3328"/>
    <cellStyle name="Normal 5 5 2 4 2 5" xfId="3329"/>
    <cellStyle name="Normal 5 5 2 4 3" xfId="3330"/>
    <cellStyle name="Normal 5 5 2 4 3 2" xfId="3331"/>
    <cellStyle name="Normal 5 5 2 4 3 3" xfId="3332"/>
    <cellStyle name="Normal 5 5 2 4 3 4" xfId="3333"/>
    <cellStyle name="Normal 5 5 2 4 4" xfId="3334"/>
    <cellStyle name="Normal 5 5 2 4 4 2" xfId="3335"/>
    <cellStyle name="Normal 5 5 2 4 4 3" xfId="3336"/>
    <cellStyle name="Normal 5 5 2 4 4 4" xfId="3337"/>
    <cellStyle name="Normal 5 5 2 4 5" xfId="3338"/>
    <cellStyle name="Normal 5 5 2 4 5 2" xfId="3339"/>
    <cellStyle name="Normal 5 5 2 4 5 3" xfId="3340"/>
    <cellStyle name="Normal 5 5 2 4 6" xfId="3341"/>
    <cellStyle name="Normal 5 5 2 4 6 2" xfId="3342"/>
    <cellStyle name="Normal 5 5 2 4 7" xfId="3343"/>
    <cellStyle name="Normal 5 5 2 5" xfId="3344"/>
    <cellStyle name="Normal 5 5 2 5 2" xfId="3345"/>
    <cellStyle name="Normal 5 5 2 5 2 2" xfId="3346"/>
    <cellStyle name="Normal 5 5 2 5 2 3" xfId="3347"/>
    <cellStyle name="Normal 5 5 2 5 3" xfId="3348"/>
    <cellStyle name="Normal 5 5 2 5 3 2" xfId="3349"/>
    <cellStyle name="Normal 5 5 2 5 4" xfId="3350"/>
    <cellStyle name="Normal 5 5 2 5 5" xfId="3351"/>
    <cellStyle name="Normal 5 5 2 6" xfId="3352"/>
    <cellStyle name="Normal 5 5 2 6 2" xfId="3353"/>
    <cellStyle name="Normal 5 5 2 6 2 2" xfId="3354"/>
    <cellStyle name="Normal 5 5 2 6 3" xfId="3355"/>
    <cellStyle name="Normal 5 5 2 6 4" xfId="3356"/>
    <cellStyle name="Normal 5 5 2 7" xfId="3357"/>
    <cellStyle name="Normal 5 5 2 7 2" xfId="3358"/>
    <cellStyle name="Normal 5 5 2 7 3" xfId="3359"/>
    <cellStyle name="Normal 5 5 2 7 4" xfId="3360"/>
    <cellStyle name="Normal 5 5 2 8" xfId="3361"/>
    <cellStyle name="Normal 5 5 2 8 2" xfId="3362"/>
    <cellStyle name="Normal 5 5 2 8 3" xfId="3363"/>
    <cellStyle name="Normal 5 5 2 8 4" xfId="3364"/>
    <cellStyle name="Normal 5 5 2 9" xfId="3365"/>
    <cellStyle name="Normal 5 5 2 9 2" xfId="3366"/>
    <cellStyle name="Normal 5 5 2 9 3" xfId="3367"/>
    <cellStyle name="Normal 5 6" xfId="3368"/>
    <cellStyle name="Normal 5 7" xfId="3369"/>
    <cellStyle name="Normal 5 8" xfId="3370"/>
    <cellStyle name="Normal 5 9" xfId="3371"/>
    <cellStyle name="Normal 50" xfId="3372"/>
    <cellStyle name="Normal 50 2" xfId="3373"/>
    <cellStyle name="Normal 50 2 2" xfId="3374"/>
    <cellStyle name="Normal 50 2 3" xfId="3375"/>
    <cellStyle name="Normal 50 3" xfId="3376"/>
    <cellStyle name="Normal 51" xfId="3377"/>
    <cellStyle name="Normal 51 2" xfId="3378"/>
    <cellStyle name="Normal 51 2 2" xfId="3379"/>
    <cellStyle name="Normal 51 2 3" xfId="3380"/>
    <cellStyle name="Normal 51 3" xfId="3381"/>
    <cellStyle name="Normal 52" xfId="3382"/>
    <cellStyle name="Normal 52 2" xfId="3383"/>
    <cellStyle name="Normal 52 2 2" xfId="3384"/>
    <cellStyle name="Normal 52 2 3" xfId="3385"/>
    <cellStyle name="Normal 52 3" xfId="3386"/>
    <cellStyle name="Normal 53" xfId="3387"/>
    <cellStyle name="Normal 54" xfId="3388"/>
    <cellStyle name="Normal 55" xfId="3389"/>
    <cellStyle name="Normal 55 2" xfId="3390"/>
    <cellStyle name="Normal 55 3" xfId="3391"/>
    <cellStyle name="Normal 56" xfId="3392"/>
    <cellStyle name="Normal 57" xfId="3393"/>
    <cellStyle name="Normal 58" xfId="3394"/>
    <cellStyle name="Normal 59" xfId="3395"/>
    <cellStyle name="Normal 6" xfId="3396"/>
    <cellStyle name="Normal 6 2" xfId="3397"/>
    <cellStyle name="Normal 6 2 2" xfId="3398"/>
    <cellStyle name="Normal 6 3" xfId="3399"/>
    <cellStyle name="Normal 6 4" xfId="3400"/>
    <cellStyle name="Normal 6 4 2" xfId="3401"/>
    <cellStyle name="Normal 6 4_ACT FPHU NR" xfId="3402"/>
    <cellStyle name="Normal 6 5" xfId="3403"/>
    <cellStyle name="Normal 6 5 2" xfId="3404"/>
    <cellStyle name="Normal 6 5_ACT FPHU NR" xfId="3405"/>
    <cellStyle name="Normal 6_ACT BNDE NR" xfId="3406"/>
    <cellStyle name="Normal 60" xfId="3407"/>
    <cellStyle name="Normal 61" xfId="3408"/>
    <cellStyle name="Normal 62" xfId="3409"/>
    <cellStyle name="Normal 63" xfId="3410"/>
    <cellStyle name="Normal 64" xfId="3411"/>
    <cellStyle name="Normal 65" xfId="3412"/>
    <cellStyle name="Normal 66" xfId="3413"/>
    <cellStyle name="Normal 67" xfId="3414"/>
    <cellStyle name="Normal 68" xfId="3415"/>
    <cellStyle name="Normal 69" xfId="3416"/>
    <cellStyle name="Normal 7" xfId="3417"/>
    <cellStyle name="Normal 7 2" xfId="3418"/>
    <cellStyle name="Normal 7 2 2" xfId="3419"/>
    <cellStyle name="Normal 7 2_ACT BNDE NR" xfId="3420"/>
    <cellStyle name="Normal 7 3" xfId="3421"/>
    <cellStyle name="Normal 7 4" xfId="3422"/>
    <cellStyle name="Normal 7 5" xfId="3423"/>
    <cellStyle name="Normal 70" xfId="3424"/>
    <cellStyle name="Normal 71" xfId="3425"/>
    <cellStyle name="Normal 71 2" xfId="3426"/>
    <cellStyle name="Normal 72" xfId="3427"/>
    <cellStyle name="Normal 73" xfId="3428"/>
    <cellStyle name="Normal 73 2" xfId="3429"/>
    <cellStyle name="Normal 74" xfId="3430"/>
    <cellStyle name="Normal 74 2" xfId="3431"/>
    <cellStyle name="Normal 75" xfId="3432"/>
    <cellStyle name="Normal 75 2" xfId="3433"/>
    <cellStyle name="Normal 76" xfId="3434"/>
    <cellStyle name="Normal 77" xfId="3435"/>
    <cellStyle name="Normal 78" xfId="3436"/>
    <cellStyle name="Normal 79" xfId="3437"/>
    <cellStyle name="Normal 79 2" xfId="3438"/>
    <cellStyle name="Normal 8" xfId="3439"/>
    <cellStyle name="Normal 8 2" xfId="3440"/>
    <cellStyle name="Normal 8 3" xfId="3441"/>
    <cellStyle name="Normal 8 4" xfId="3442"/>
    <cellStyle name="Normal 8 4 2" xfId="3443"/>
    <cellStyle name="Normal 8 4_ACT FPHU NR" xfId="3444"/>
    <cellStyle name="Normal 8 5" xfId="3445"/>
    <cellStyle name="Normal 8_ACT BNDE NR" xfId="3446"/>
    <cellStyle name="Normal 80" xfId="3447"/>
    <cellStyle name="Normal 81" xfId="3448"/>
    <cellStyle name="Normal 82" xfId="3449"/>
    <cellStyle name="Normal 83" xfId="3450"/>
    <cellStyle name="Normal 83 2" xfId="3451"/>
    <cellStyle name="Normal 84" xfId="3452"/>
    <cellStyle name="Normal 84 2" xfId="3453"/>
    <cellStyle name="Normal 85" xfId="3454"/>
    <cellStyle name="Normal 86" xfId="3455"/>
    <cellStyle name="Normal 87" xfId="3456"/>
    <cellStyle name="Normal 88" xfId="3457"/>
    <cellStyle name="Normal 89" xfId="3458"/>
    <cellStyle name="Normal 9" xfId="3459"/>
    <cellStyle name="Normal 9 10" xfId="3460"/>
    <cellStyle name="Normal 9 11" xfId="3461"/>
    <cellStyle name="Normal 9 12" xfId="3462"/>
    <cellStyle name="Normal 9 13" xfId="3463"/>
    <cellStyle name="Normal 9 14" xfId="3464"/>
    <cellStyle name="Normal 9 15" xfId="3465"/>
    <cellStyle name="Normal 9 16" xfId="3466"/>
    <cellStyle name="Normal 9 2" xfId="3467"/>
    <cellStyle name="Normal 9 3" xfId="3468"/>
    <cellStyle name="Normal 9 4" xfId="3469"/>
    <cellStyle name="Normal 9 5" xfId="3470"/>
    <cellStyle name="Normal 9 6" xfId="3471"/>
    <cellStyle name="Normal 9 7" xfId="3472"/>
    <cellStyle name="Normal 9 8" xfId="3473"/>
    <cellStyle name="Normal 9 9" xfId="3474"/>
    <cellStyle name="Normal 9_ACT BNDE NR" xfId="3475"/>
    <cellStyle name="Normal 90" xfId="3476"/>
    <cellStyle name="Normal 90 2" xfId="3477"/>
    <cellStyle name="Normal 91" xfId="3478"/>
    <cellStyle name="Normal 92" xfId="3479"/>
    <cellStyle name="Normal 93" xfId="3480"/>
    <cellStyle name="Normal 94" xfId="3481"/>
    <cellStyle name="Normal 95" xfId="3482"/>
    <cellStyle name="Normal 96" xfId="3483"/>
    <cellStyle name="Normal 96 2" xfId="3484"/>
    <cellStyle name="Normal 97" xfId="3485"/>
    <cellStyle name="Normal 98" xfId="3486"/>
    <cellStyle name="Normal 99" xfId="3487"/>
    <cellStyle name="Normal Table" xfId="3488"/>
    <cellStyle name="Normal, Of which" xfId="3489"/>
    <cellStyle name="Normal_ii5-2sitconso des etsfinapassif" xfId="556"/>
    <cellStyle name="Of which" xfId="3490"/>
    <cellStyle name="Percent [2]" xfId="3491"/>
    <cellStyle name="Percent [2] 10" xfId="3492"/>
    <cellStyle name="Percent [2] 2" xfId="3493"/>
    <cellStyle name="Percent [2] 3" xfId="3494"/>
    <cellStyle name="Percent [2] 4" xfId="3495"/>
    <cellStyle name="Percent [2] 5" xfId="3496"/>
    <cellStyle name="Percent [2] 6" xfId="3497"/>
    <cellStyle name="Percent [2] 7" xfId="3498"/>
    <cellStyle name="Percent [2] 8" xfId="3499"/>
    <cellStyle name="Percent [2] 9" xfId="3500"/>
    <cellStyle name="Percent 2" xfId="3501"/>
    <cellStyle name="Percent 3" xfId="3502"/>
    <cellStyle name="percentage difference" xfId="3503"/>
    <cellStyle name="percentage difference one decimal" xfId="3504"/>
    <cellStyle name="percentage difference zero decimal" xfId="3505"/>
    <cellStyle name="Percentual" xfId="3506"/>
    <cellStyle name="Ponto" xfId="3507"/>
    <cellStyle name="Porcentagem_SEP1196" xfId="3508"/>
    <cellStyle name="Porcentaje" xfId="3509"/>
    <cellStyle name="Pourcentage 2" xfId="3510"/>
    <cellStyle name="Pourcentage 2 10" xfId="3511"/>
    <cellStyle name="Pourcentage 2 11" xfId="3512"/>
    <cellStyle name="Pourcentage 2 12" xfId="3513"/>
    <cellStyle name="Pourcentage 2 13" xfId="3514"/>
    <cellStyle name="Pourcentage 2 14" xfId="3515"/>
    <cellStyle name="Pourcentage 2 15" xfId="3516"/>
    <cellStyle name="Pourcentage 2 16" xfId="3517"/>
    <cellStyle name="Pourcentage 2 17" xfId="3518"/>
    <cellStyle name="Pourcentage 2 18" xfId="3519"/>
    <cellStyle name="Pourcentage 2 19" xfId="3520"/>
    <cellStyle name="Pourcentage 2 2" xfId="3521"/>
    <cellStyle name="Pourcentage 2 2 2" xfId="3522"/>
    <cellStyle name="Pourcentage 2 2 3" xfId="3523"/>
    <cellStyle name="Pourcentage 2 2 4" xfId="3524"/>
    <cellStyle name="Pourcentage 2 2 5" xfId="3525"/>
    <cellStyle name="Pourcentage 2 20" xfId="3526"/>
    <cellStyle name="Pourcentage 2 21" xfId="3527"/>
    <cellStyle name="Pourcentage 2 22" xfId="3528"/>
    <cellStyle name="Pourcentage 2 23" xfId="3529"/>
    <cellStyle name="Pourcentage 2 24" xfId="3530"/>
    <cellStyle name="Pourcentage 2 3" xfId="3531"/>
    <cellStyle name="Pourcentage 2 3 2" xfId="3532"/>
    <cellStyle name="Pourcentage 2 3 3" xfId="3533"/>
    <cellStyle name="Pourcentage 2 3 4" xfId="3534"/>
    <cellStyle name="Pourcentage 2 3 5" xfId="3535"/>
    <cellStyle name="Pourcentage 2 4" xfId="3536"/>
    <cellStyle name="Pourcentage 2 5" xfId="3537"/>
    <cellStyle name="Pourcentage 2 6" xfId="3538"/>
    <cellStyle name="Pourcentage 2 7" xfId="3539"/>
    <cellStyle name="Pourcentage 2 8" xfId="3540"/>
    <cellStyle name="Pourcentage 2 9" xfId="3541"/>
    <cellStyle name="Pourcentage 3" xfId="3542"/>
    <cellStyle name="Pourcentage 3 2" xfId="3543"/>
    <cellStyle name="Pourcentage 3 2 2" xfId="3544"/>
    <cellStyle name="Pourcentage 3 2 3" xfId="3545"/>
    <cellStyle name="Pourcentage 3 2 4" xfId="3546"/>
    <cellStyle name="Pourcentage 3 2 5" xfId="3547"/>
    <cellStyle name="Pourcentage 3 2 6" xfId="3548"/>
    <cellStyle name="Pourcentage 3 3" xfId="3549"/>
    <cellStyle name="Pourcentage 3 3 2" xfId="3550"/>
    <cellStyle name="Pourcentage 3 3 3" xfId="3551"/>
    <cellStyle name="Pourcentage 3 3 4" xfId="3552"/>
    <cellStyle name="Pourcentage 3 3 5" xfId="3553"/>
    <cellStyle name="Pourcentage 3 4" xfId="3554"/>
    <cellStyle name="Pourcentage 3 5" xfId="3555"/>
    <cellStyle name="Pourcentage 3 6" xfId="3556"/>
    <cellStyle name="Pourcentage 3 7" xfId="3557"/>
    <cellStyle name="Pourcentage 4" xfId="3558"/>
    <cellStyle name="Pourcentage 4 2" xfId="3559"/>
    <cellStyle name="Pourcentage 4 3" xfId="3560"/>
    <cellStyle name="Pourcentage 4 4" xfId="3561"/>
    <cellStyle name="Pourcentage 4 5" xfId="3562"/>
    <cellStyle name="Pourcentage 5" xfId="3563"/>
    <cellStyle name="Presentation" xfId="3564"/>
    <cellStyle name="Publication" xfId="3565"/>
    <cellStyle name="Punto" xfId="3566"/>
    <cellStyle name="Punto0" xfId="3567"/>
    <cellStyle name="Red Text" xfId="3568"/>
    <cellStyle name="SAPBEXaggData" xfId="3569"/>
    <cellStyle name="SAPBEXaggDataEmph" xfId="3570"/>
    <cellStyle name="SAPBEXaggItem" xfId="3571"/>
    <cellStyle name="SAPBEXchaText" xfId="3572"/>
    <cellStyle name="SAPBEXexcBad" xfId="3573"/>
    <cellStyle name="SAPBEXexcCritical" xfId="3574"/>
    <cellStyle name="SAPBEXexcGood" xfId="3575"/>
    <cellStyle name="SAPBEXexcVeryBad" xfId="3576"/>
    <cellStyle name="SAPBEXfilterDrill" xfId="3577"/>
    <cellStyle name="SAPBEXfilterItem" xfId="3578"/>
    <cellStyle name="SAPBEXfilterText" xfId="3579"/>
    <cellStyle name="SAPBEXformats" xfId="3580"/>
    <cellStyle name="SAPBEXheaderData" xfId="3581"/>
    <cellStyle name="SAPBEXheaderItem" xfId="3582"/>
    <cellStyle name="SAPBEXheaderText" xfId="3583"/>
    <cellStyle name="SAPBEXresData" xfId="3584"/>
    <cellStyle name="SAPBEXresDataEmph" xfId="3585"/>
    <cellStyle name="SAPBEXresItem" xfId="3586"/>
    <cellStyle name="SAPBEXstdData" xfId="3587"/>
    <cellStyle name="SAPBEXstdDataEmph" xfId="3588"/>
    <cellStyle name="SAPBEXstdItem" xfId="3589"/>
    <cellStyle name="SAPBEXstdItem 2" xfId="3590"/>
    <cellStyle name="SAPBEXsubData" xfId="3591"/>
    <cellStyle name="SAPBEXsubDataEmph" xfId="3592"/>
    <cellStyle name="SAPBEXsubItem" xfId="3593"/>
    <cellStyle name="SAPBEXtitle" xfId="3594"/>
    <cellStyle name="SAPBEXundefined" xfId="3595"/>
    <cellStyle name="Sep. milhar [2]" xfId="3596"/>
    <cellStyle name="Separador de m" xfId="3597"/>
    <cellStyle name="Separador de m 10" xfId="3598"/>
    <cellStyle name="Separador de m 2" xfId="3599"/>
    <cellStyle name="Separador de m 3" xfId="3600"/>
    <cellStyle name="Separador de m 4" xfId="3601"/>
    <cellStyle name="Separador de m 5" xfId="3602"/>
    <cellStyle name="Separador de m 6" xfId="3603"/>
    <cellStyle name="Separador de m 7" xfId="3604"/>
    <cellStyle name="Separador de m 8" xfId="3605"/>
    <cellStyle name="Separador de m 9" xfId="3606"/>
    <cellStyle name="Separador de milhares [0]_A" xfId="3607"/>
    <cellStyle name="Separador de milhares_A" xfId="3608"/>
    <cellStyle name="Sheet Title" xfId="3609"/>
    <cellStyle name="Style1" xfId="3610"/>
    <cellStyle name="Text" xfId="3611"/>
    <cellStyle name="Text 10" xfId="3612"/>
    <cellStyle name="Text 2" xfId="3613"/>
    <cellStyle name="Text 3" xfId="3614"/>
    <cellStyle name="Text 4" xfId="3615"/>
    <cellStyle name="Text 5" xfId="3616"/>
    <cellStyle name="Text 6" xfId="3617"/>
    <cellStyle name="Text 7" xfId="3618"/>
    <cellStyle name="Text 8" xfId="3619"/>
    <cellStyle name="Text 9" xfId="3620"/>
    <cellStyle name="þ_x001d_ð‡_x000c_éþ÷_x000c_âþU_x0001__x001f__x000f_&quot;_x0007__x0001__x0001_" xfId="3621"/>
    <cellStyle name="þ_x001d_ð‡_x000c_éþ÷_x000c_âþU_x0001__x001f__x000f_&quot;_x000f__x0001__x0001_" xfId="3622"/>
    <cellStyle name="Titulo1" xfId="3623"/>
    <cellStyle name="Titulo2" xfId="3624"/>
    <cellStyle name="TopGrey" xfId="3625"/>
    <cellStyle name="V¡rgula" xfId="3626"/>
    <cellStyle name="V¡rgula0" xfId="3627"/>
    <cellStyle name="vaca" xfId="3628"/>
    <cellStyle name="Vírgula" xfId="3629"/>
    <cellStyle name="Vírgula 10" xfId="3630"/>
    <cellStyle name="Vírgula 2" xfId="3631"/>
    <cellStyle name="Vírgula 3" xfId="3632"/>
    <cellStyle name="Vírgula 4" xfId="3633"/>
    <cellStyle name="Vírgula 5" xfId="3634"/>
    <cellStyle name="Vírgula 6" xfId="3635"/>
    <cellStyle name="Vírgula 7" xfId="3636"/>
    <cellStyle name="Vírgula 8" xfId="3637"/>
    <cellStyle name="Vírgula 9" xfId="3638"/>
    <cellStyle name="WebAnchor1" xfId="3639"/>
    <cellStyle name="WebAnchor2" xfId="3640"/>
    <cellStyle name="WebAnchor3" xfId="3641"/>
    <cellStyle name="WebAnchor4" xfId="3642"/>
    <cellStyle name="WebAnchor5" xfId="3643"/>
    <cellStyle name="WebAnchor6" xfId="3644"/>
    <cellStyle name="WebAnchor7" xfId="3645"/>
    <cellStyle name="Webexclude" xfId="3646"/>
    <cellStyle name="WebFN" xfId="3647"/>
    <cellStyle name="WebFN1" xfId="3648"/>
    <cellStyle name="WebFN2" xfId="3649"/>
    <cellStyle name="WebFN3" xfId="3650"/>
    <cellStyle name="WebFN4" xfId="3651"/>
    <cellStyle name="WebHR" xfId="3652"/>
    <cellStyle name="WebIndent1" xfId="3653"/>
    <cellStyle name="WebIndent1wFN3" xfId="3654"/>
    <cellStyle name="WebIndent2" xfId="3655"/>
    <cellStyle name="WebNoBR" xfId="3656"/>
    <cellStyle name="ДАТА" xfId="3657"/>
    <cellStyle name="ДЕНЕЖНЫЙ_BOPENGC" xfId="3658"/>
    <cellStyle name="ЗАГОЛОВОК1" xfId="3659"/>
    <cellStyle name="ЗАГОЛОВОК2" xfId="3660"/>
    <cellStyle name="ИТОГОВЫЙ" xfId="3661"/>
    <cellStyle name="Обычный_BOPENGC" xfId="3662"/>
    <cellStyle name="ПРОЦЕНТНЫЙ_BOPENGC" xfId="3663"/>
    <cellStyle name="ТЕКСТ" xfId="3664"/>
    <cellStyle name="ФИКСИРОВАННЫЙ" xfId="3665"/>
    <cellStyle name="ФИНАНСОВЫЙ_BOPENGC" xfId="36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72"/>
  <sheetViews>
    <sheetView showGridLines="0" tabSelected="1" view="pageBreakPreview" zoomScale="70" zoomScaleNormal="100" zoomScaleSheetLayoutView="70" workbookViewId="0">
      <pane xSplit="1" ySplit="15" topLeftCell="B246" activePane="bottomRight" state="frozen"/>
      <selection pane="topRight" activeCell="B1" sqref="B1"/>
      <selection pane="bottomLeft" activeCell="A16" sqref="A16"/>
      <selection pane="bottomRight" activeCell="N236" sqref="N236"/>
    </sheetView>
  </sheetViews>
  <sheetFormatPr baseColWidth="10" defaultColWidth="12.6640625" defaultRowHeight="12.75"/>
  <cols>
    <col min="1" max="1" width="20.88671875" style="4" customWidth="1"/>
    <col min="2" max="2" width="13.109375" style="27" bestFit="1" customWidth="1"/>
    <col min="3" max="3" width="12.21875" style="27" bestFit="1" customWidth="1"/>
    <col min="4" max="4" width="10.21875" style="27" bestFit="1" customWidth="1"/>
    <col min="5" max="5" width="8.5546875" style="27" bestFit="1" customWidth="1"/>
    <col min="6" max="6" width="10.109375" style="27" bestFit="1" customWidth="1"/>
    <col min="7" max="7" width="8" style="27" customWidth="1"/>
    <col min="8" max="8" width="7.44140625" style="27" customWidth="1"/>
    <col min="9" max="9" width="11" style="39" customWidth="1"/>
    <col min="10" max="10" width="8.109375" style="4" bestFit="1" customWidth="1"/>
    <col min="11" max="11" width="8.88671875" style="4" bestFit="1" customWidth="1"/>
    <col min="12" max="12" width="8.33203125" style="4" bestFit="1" customWidth="1"/>
    <col min="13" max="13" width="10.44140625" style="4" bestFit="1" customWidth="1"/>
    <col min="14" max="16384" width="12.6640625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6"/>
      <c r="C3" s="6"/>
      <c r="D3" s="6"/>
      <c r="E3" s="6"/>
      <c r="F3" s="6"/>
      <c r="G3" s="6"/>
      <c r="H3" s="6"/>
      <c r="I3" s="7"/>
    </row>
    <row r="4" spans="1:9">
      <c r="A4" s="8" t="s">
        <v>0</v>
      </c>
      <c r="B4" s="9"/>
      <c r="C4" s="9"/>
      <c r="D4" s="9"/>
      <c r="E4" s="9"/>
      <c r="F4" s="9"/>
      <c r="G4" s="9"/>
      <c r="H4" s="9"/>
      <c r="I4" s="10" t="s">
        <v>200</v>
      </c>
    </row>
    <row r="5" spans="1:9" ht="15.75" customHeight="1">
      <c r="A5" s="69" t="s">
        <v>184</v>
      </c>
      <c r="B5" s="70"/>
      <c r="C5" s="70"/>
      <c r="D5" s="70"/>
      <c r="E5" s="70"/>
      <c r="F5" s="70"/>
      <c r="G5" s="70"/>
      <c r="H5" s="70"/>
      <c r="I5" s="71"/>
    </row>
    <row r="6" spans="1:9" s="11" customFormat="1" ht="15.75" customHeight="1">
      <c r="A6" s="72" t="s">
        <v>111</v>
      </c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75"/>
      <c r="B7" s="76"/>
      <c r="C7" s="76"/>
      <c r="D7" s="76"/>
      <c r="E7" s="76"/>
      <c r="F7" s="76"/>
      <c r="G7" s="76"/>
      <c r="H7" s="76"/>
      <c r="I7" s="77"/>
    </row>
    <row r="8" spans="1:9" s="15" customFormat="1">
      <c r="A8" s="12"/>
      <c r="B8" s="13"/>
      <c r="C8" s="13"/>
      <c r="D8" s="13"/>
      <c r="E8" s="13"/>
      <c r="F8" s="13"/>
      <c r="G8" s="13"/>
      <c r="H8" s="13"/>
      <c r="I8" s="14"/>
    </row>
    <row r="9" spans="1:9">
      <c r="A9" s="16"/>
      <c r="B9" s="17"/>
      <c r="C9" s="9"/>
      <c r="D9" s="18"/>
      <c r="E9" s="17"/>
      <c r="F9" s="17"/>
      <c r="G9" s="9"/>
      <c r="H9" s="17"/>
      <c r="I9" s="19"/>
    </row>
    <row r="10" spans="1:9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>
      <c r="A11" s="48"/>
      <c r="B11" s="61" t="s">
        <v>197</v>
      </c>
      <c r="C11" s="60" t="s">
        <v>196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>
      <c r="A12" s="48"/>
      <c r="B12" s="61" t="s">
        <v>198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>
      <c r="A13" s="48"/>
      <c r="B13" s="61" t="s">
        <v>199</v>
      </c>
      <c r="C13" s="60" t="s">
        <v>15</v>
      </c>
      <c r="D13" s="17"/>
      <c r="E13" s="17"/>
      <c r="F13" s="23"/>
      <c r="G13" s="9"/>
      <c r="H13" s="17"/>
      <c r="I13" s="19"/>
    </row>
    <row r="14" spans="1:9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>
      <c r="A15" s="24"/>
      <c r="B15" s="25"/>
      <c r="C15" s="13"/>
      <c r="D15" s="25"/>
      <c r="E15" s="25"/>
      <c r="F15" s="25"/>
      <c r="G15" s="13"/>
      <c r="H15" s="25"/>
      <c r="I15" s="26"/>
    </row>
    <row r="16" spans="1:9">
      <c r="A16" s="20"/>
      <c r="B16" s="17"/>
      <c r="D16" s="17"/>
      <c r="E16" s="17"/>
      <c r="F16" s="17"/>
      <c r="H16" s="17"/>
      <c r="I16" s="19"/>
    </row>
    <row r="17" spans="1:9" hidden="1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23483</v>
      </c>
      <c r="H21" s="46">
        <v>9037.4000000000015</v>
      </c>
      <c r="I21" s="46">
        <v>72232.400000000009</v>
      </c>
    </row>
    <row r="22" spans="1:9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26593.3</v>
      </c>
      <c r="H22" s="46">
        <v>11397.8</v>
      </c>
      <c r="I22" s="46">
        <v>83108.600000000006</v>
      </c>
    </row>
    <row r="23" spans="1:9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28003.899999999998</v>
      </c>
      <c r="H23" s="46">
        <v>16436.099999999999</v>
      </c>
      <c r="I23" s="46">
        <v>101933</v>
      </c>
    </row>
    <row r="24" spans="1:9">
      <c r="A24" s="31" t="s">
        <v>177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36204.5</v>
      </c>
      <c r="H24" s="46">
        <v>17593</v>
      </c>
      <c r="I24" s="46">
        <v>119462.00000000001</v>
      </c>
    </row>
    <row r="25" spans="1:9">
      <c r="A25" s="31" t="s">
        <v>190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38358</v>
      </c>
      <c r="H25" s="46">
        <v>34192.799999999996</v>
      </c>
      <c r="I25" s="46">
        <v>138205.79999999999</v>
      </c>
    </row>
    <row r="26" spans="1:9">
      <c r="A26" s="28"/>
      <c r="B26" s="30"/>
      <c r="C26" s="23" t="s">
        <v>35</v>
      </c>
      <c r="D26" s="30"/>
      <c r="E26" s="30"/>
      <c r="F26" s="30"/>
      <c r="G26" s="42"/>
      <c r="H26" s="30"/>
      <c r="I26" s="30"/>
    </row>
    <row r="27" spans="1:9" hidden="1">
      <c r="A27" s="28"/>
      <c r="B27" s="30"/>
      <c r="C27" s="23" t="s">
        <v>35</v>
      </c>
      <c r="D27" s="30"/>
      <c r="E27" s="30"/>
      <c r="F27" s="30"/>
      <c r="G27" s="42"/>
      <c r="H27" s="30"/>
      <c r="I27" s="30"/>
    </row>
    <row r="28" spans="1:9" hidden="1">
      <c r="A28" s="28" t="s">
        <v>175</v>
      </c>
      <c r="B28" s="30" t="s">
        <v>35</v>
      </c>
      <c r="C28" s="23" t="s">
        <v>35</v>
      </c>
      <c r="D28" s="30">
        <f>3471.2+12670.3</f>
        <v>16141.5</v>
      </c>
      <c r="E28" s="30">
        <f>3733.7+19024</f>
        <v>22757.7</v>
      </c>
      <c r="F28" s="30">
        <f>466.8+346</f>
        <v>812.8</v>
      </c>
      <c r="G28" s="42">
        <f>14709.8+581.8+10764.6+1427.1</f>
        <v>27483.299999999996</v>
      </c>
      <c r="H28" s="30">
        <f>2576.1+2461</f>
        <v>5037.1000000000004</v>
      </c>
      <c r="I28" s="30">
        <f t="shared" ref="I28" si="1">SUM(B28:H28)</f>
        <v>72232.399999999994</v>
      </c>
    </row>
    <row r="29" spans="1:9" hidden="1">
      <c r="A29" s="45" t="s">
        <v>153</v>
      </c>
      <c r="B29" s="46" t="s">
        <v>35</v>
      </c>
      <c r="C29" s="23" t="s">
        <v>35</v>
      </c>
      <c r="D29" s="46">
        <v>15329.599999999999</v>
      </c>
      <c r="E29" s="46">
        <v>24303.9</v>
      </c>
      <c r="F29" s="46">
        <v>806.9</v>
      </c>
      <c r="G29" s="47">
        <v>27810.9</v>
      </c>
      <c r="H29" s="46">
        <v>4721.2999999999993</v>
      </c>
      <c r="I29" s="46">
        <v>72972.600000000006</v>
      </c>
    </row>
    <row r="30" spans="1:9" hidden="1">
      <c r="A30" s="45" t="s">
        <v>183</v>
      </c>
      <c r="B30" s="30" t="s">
        <v>35</v>
      </c>
      <c r="C30" s="23" t="s">
        <v>35</v>
      </c>
      <c r="D30" s="30">
        <f>3759.3+11770.3</f>
        <v>15529.599999999999</v>
      </c>
      <c r="E30" s="30">
        <f>3899.6+21292.3</f>
        <v>25191.899999999998</v>
      </c>
      <c r="F30" s="30">
        <f>459.1+346</f>
        <v>805.1</v>
      </c>
      <c r="G30" s="42">
        <f>16074.6-45.5+12234.4+622.5</f>
        <v>28886</v>
      </c>
      <c r="H30" s="30">
        <f>2154.1+2600.7</f>
        <v>4754.7999999999993</v>
      </c>
      <c r="I30" s="30">
        <f t="shared" ref="I30" si="2">SUM(B30:H30)</f>
        <v>75167.400000000009</v>
      </c>
    </row>
    <row r="31" spans="1:9" hidden="1">
      <c r="A31" s="28" t="s">
        <v>170</v>
      </c>
      <c r="B31" s="30" t="s">
        <v>35</v>
      </c>
      <c r="C31" s="23" t="s">
        <v>35</v>
      </c>
      <c r="D31" s="30">
        <f>3812.2+11770.3</f>
        <v>15582.5</v>
      </c>
      <c r="E31" s="30">
        <f>3813.4+22455.4</f>
        <v>26268.800000000003</v>
      </c>
      <c r="F31" s="30">
        <f>346</f>
        <v>346</v>
      </c>
      <c r="G31" s="42">
        <f>17059.8+12450.8+1055.1</f>
        <v>30565.699999999997</v>
      </c>
      <c r="H31" s="30">
        <f>3041.3+2911.3</f>
        <v>5952.6</v>
      </c>
      <c r="I31" s="30">
        <f t="shared" ref="I31" si="3">SUM(B31:H31)</f>
        <v>78715.600000000006</v>
      </c>
    </row>
    <row r="32" spans="1:9" hidden="1">
      <c r="A32" s="28" t="s">
        <v>174</v>
      </c>
      <c r="B32" s="30" t="s">
        <v>35</v>
      </c>
      <c r="C32" s="23" t="s">
        <v>35</v>
      </c>
      <c r="D32" s="30">
        <v>16345.6</v>
      </c>
      <c r="E32" s="30">
        <v>28440.7</v>
      </c>
      <c r="F32" s="30">
        <v>331.2</v>
      </c>
      <c r="G32" s="42">
        <v>32945.599999999999</v>
      </c>
      <c r="H32" s="30">
        <v>5045.5</v>
      </c>
      <c r="I32" s="30">
        <f t="shared" ref="I32" si="4">SUM(B32:H32)</f>
        <v>83108.600000000006</v>
      </c>
    </row>
    <row r="33" spans="1:9" hidden="1">
      <c r="A33" s="28"/>
      <c r="B33" s="30"/>
      <c r="C33" s="23" t="s">
        <v>35</v>
      </c>
      <c r="D33" s="30"/>
      <c r="E33" s="30"/>
      <c r="F33" s="30"/>
      <c r="G33" s="42"/>
      <c r="H33" s="30"/>
      <c r="I33" s="30"/>
    </row>
    <row r="34" spans="1:9" hidden="1">
      <c r="A34" s="28"/>
      <c r="B34" s="30"/>
      <c r="C34" s="23" t="s">
        <v>35</v>
      </c>
      <c r="D34" s="30"/>
      <c r="E34" s="30"/>
      <c r="F34" s="30"/>
      <c r="G34" s="42"/>
      <c r="H34" s="30"/>
      <c r="I34" s="30"/>
    </row>
    <row r="35" spans="1:9">
      <c r="A35" s="28" t="s">
        <v>154</v>
      </c>
      <c r="B35" s="46">
        <v>4553.8</v>
      </c>
      <c r="C35" s="23" t="s">
        <v>35</v>
      </c>
      <c r="D35" s="46">
        <v>17678.7</v>
      </c>
      <c r="E35" s="46">
        <v>25576.400000000005</v>
      </c>
      <c r="F35" s="46">
        <v>331.2</v>
      </c>
      <c r="G35" s="27">
        <v>25720</v>
      </c>
      <c r="H35" s="46">
        <v>11895</v>
      </c>
      <c r="I35" s="46">
        <v>85755.1</v>
      </c>
    </row>
    <row r="36" spans="1:9">
      <c r="A36" s="28" t="s">
        <v>150</v>
      </c>
      <c r="B36" s="46">
        <v>4562.2000000000007</v>
      </c>
      <c r="C36" s="23" t="s">
        <v>35</v>
      </c>
      <c r="D36" s="46">
        <v>18384.599999999999</v>
      </c>
      <c r="E36" s="46">
        <v>28649.899999999998</v>
      </c>
      <c r="F36" s="46">
        <v>331.2</v>
      </c>
      <c r="G36" s="27">
        <v>25639.1</v>
      </c>
      <c r="H36" s="46">
        <v>13489.4</v>
      </c>
      <c r="I36" s="46">
        <v>91056.4</v>
      </c>
    </row>
    <row r="37" spans="1:9">
      <c r="A37" s="28" t="s">
        <v>151</v>
      </c>
      <c r="B37" s="46">
        <v>4444.8</v>
      </c>
      <c r="C37" s="23" t="s">
        <v>35</v>
      </c>
      <c r="D37" s="46">
        <v>18608.3</v>
      </c>
      <c r="E37" s="46">
        <v>31166.500000000004</v>
      </c>
      <c r="F37" s="46">
        <v>331.2</v>
      </c>
      <c r="G37" s="27">
        <v>25635.800000000003</v>
      </c>
      <c r="H37" s="46">
        <v>15759.9</v>
      </c>
      <c r="I37" s="46">
        <v>95946.5</v>
      </c>
    </row>
    <row r="38" spans="1:9">
      <c r="A38" s="28" t="s">
        <v>152</v>
      </c>
      <c r="B38" s="46">
        <v>5732.2000000000007</v>
      </c>
      <c r="C38" s="4">
        <v>500</v>
      </c>
      <c r="D38" s="46">
        <v>18489.400000000001</v>
      </c>
      <c r="E38" s="46">
        <v>32440.199999999997</v>
      </c>
      <c r="F38" s="46">
        <v>331.2</v>
      </c>
      <c r="G38" s="27">
        <v>28003.899999999998</v>
      </c>
      <c r="H38" s="46">
        <v>16436.099999999999</v>
      </c>
      <c r="I38" s="46">
        <v>101933</v>
      </c>
    </row>
    <row r="39" spans="1:9">
      <c r="A39" s="28"/>
      <c r="B39" s="30"/>
      <c r="C39" s="23" t="s">
        <v>35</v>
      </c>
      <c r="D39" s="30"/>
      <c r="E39" s="30"/>
      <c r="F39" s="30"/>
      <c r="H39" s="30"/>
      <c r="I39" s="30"/>
    </row>
    <row r="40" spans="1:9">
      <c r="A40" s="28" t="s">
        <v>155</v>
      </c>
      <c r="B40" s="46">
        <v>5302</v>
      </c>
      <c r="C40" s="4">
        <v>500</v>
      </c>
      <c r="D40" s="46">
        <v>18108.099999999999</v>
      </c>
      <c r="E40" s="46">
        <v>33868.5</v>
      </c>
      <c r="F40" s="46">
        <v>331.2</v>
      </c>
      <c r="G40" s="27">
        <v>27023.299999999996</v>
      </c>
      <c r="H40" s="46">
        <v>17755.800000000003</v>
      </c>
      <c r="I40" s="46">
        <v>102888.9</v>
      </c>
    </row>
    <row r="41" spans="1:9">
      <c r="A41" s="28" t="s">
        <v>150</v>
      </c>
      <c r="B41" s="46">
        <v>5446.4</v>
      </c>
      <c r="C41" s="23" t="s">
        <v>35</v>
      </c>
      <c r="D41" s="46">
        <v>15873.099999999999</v>
      </c>
      <c r="E41" s="46">
        <v>36962.1</v>
      </c>
      <c r="F41" s="46">
        <v>331.2</v>
      </c>
      <c r="G41" s="27">
        <v>29002.6</v>
      </c>
      <c r="H41" s="46">
        <v>19640.900000000001</v>
      </c>
      <c r="I41" s="46">
        <v>107256.29999999999</v>
      </c>
    </row>
    <row r="42" spans="1:9">
      <c r="A42" s="28" t="s">
        <v>151</v>
      </c>
      <c r="B42" s="46">
        <v>5446.4</v>
      </c>
      <c r="C42" s="23" t="s">
        <v>35</v>
      </c>
      <c r="D42" s="46">
        <v>16259.899999999998</v>
      </c>
      <c r="E42" s="46">
        <v>37483.800000000003</v>
      </c>
      <c r="F42" s="46">
        <v>331.2</v>
      </c>
      <c r="G42" s="27">
        <v>31475.4</v>
      </c>
      <c r="H42" s="46">
        <v>21552.400000000001</v>
      </c>
      <c r="I42" s="46">
        <v>112549.09999999999</v>
      </c>
    </row>
    <row r="43" spans="1:9">
      <c r="A43" s="28" t="s">
        <v>152</v>
      </c>
      <c r="B43" s="46">
        <v>4680.2</v>
      </c>
      <c r="C43" s="23" t="s">
        <v>35</v>
      </c>
      <c r="D43" s="46">
        <v>12527.599999999999</v>
      </c>
      <c r="E43" s="46">
        <v>48125.500000000015</v>
      </c>
      <c r="F43" s="46">
        <v>331.2</v>
      </c>
      <c r="G43" s="27">
        <v>36204.5</v>
      </c>
      <c r="H43" s="46">
        <v>17593</v>
      </c>
      <c r="I43" s="46">
        <v>119462.00000000001</v>
      </c>
    </row>
    <row r="44" spans="1:9">
      <c r="A44" s="28"/>
      <c r="B44" s="30"/>
      <c r="C44" s="23" t="s">
        <v>35</v>
      </c>
      <c r="D44" s="30"/>
      <c r="E44" s="30"/>
      <c r="F44" s="30"/>
      <c r="H44" s="30"/>
      <c r="I44" s="30"/>
    </row>
    <row r="45" spans="1:9">
      <c r="A45" s="45" t="s">
        <v>179</v>
      </c>
      <c r="B45" s="46">
        <v>4205.0999999999995</v>
      </c>
      <c r="C45" s="23" t="s">
        <v>35</v>
      </c>
      <c r="D45" s="46">
        <v>12645.4</v>
      </c>
      <c r="E45" s="46">
        <v>51896.3</v>
      </c>
      <c r="F45" s="46">
        <v>331.2</v>
      </c>
      <c r="G45" s="27">
        <v>35358.9</v>
      </c>
      <c r="H45" s="46">
        <v>22434.2</v>
      </c>
      <c r="I45" s="46">
        <v>126871.1</v>
      </c>
    </row>
    <row r="46" spans="1:9">
      <c r="A46" s="45" t="s">
        <v>150</v>
      </c>
      <c r="B46" s="46">
        <v>3879.1</v>
      </c>
      <c r="C46" s="4">
        <v>301.60000000000014</v>
      </c>
      <c r="D46" s="46">
        <v>11194.099999999999</v>
      </c>
      <c r="E46" s="46">
        <v>52988.900000000009</v>
      </c>
      <c r="F46" s="46">
        <v>331.2</v>
      </c>
      <c r="G46" s="27">
        <v>36951.699999999997</v>
      </c>
      <c r="H46" s="46">
        <v>21983.199999999997</v>
      </c>
      <c r="I46" s="46">
        <v>127629.80000000002</v>
      </c>
    </row>
    <row r="47" spans="1:9">
      <c r="A47" s="45" t="s">
        <v>151</v>
      </c>
      <c r="B47" s="46">
        <v>3910.7</v>
      </c>
      <c r="C47" s="4">
        <v>301.60000000000014</v>
      </c>
      <c r="D47" s="46">
        <v>27794.5</v>
      </c>
      <c r="E47" s="46">
        <v>31767.499999999996</v>
      </c>
      <c r="F47" s="46">
        <v>331.2</v>
      </c>
      <c r="G47" s="27">
        <v>38060</v>
      </c>
      <c r="H47" s="46">
        <v>32098.2</v>
      </c>
      <c r="I47" s="46">
        <v>134263.69999999998</v>
      </c>
    </row>
    <row r="48" spans="1:9">
      <c r="A48" s="45" t="s">
        <v>152</v>
      </c>
      <c r="B48" s="46">
        <v>5477.9</v>
      </c>
      <c r="C48" s="4">
        <v>301.79999999999995</v>
      </c>
      <c r="D48" s="46">
        <v>13744.4</v>
      </c>
      <c r="E48" s="46">
        <v>45799.7</v>
      </c>
      <c r="F48" s="46">
        <v>331.2</v>
      </c>
      <c r="G48" s="27">
        <v>38358</v>
      </c>
      <c r="H48" s="46">
        <v>34192.799999999996</v>
      </c>
      <c r="I48" s="46">
        <v>138205.79999999999</v>
      </c>
    </row>
    <row r="49" spans="1:15">
      <c r="A49" s="28"/>
      <c r="B49" s="30"/>
      <c r="C49" s="23" t="s">
        <v>35</v>
      </c>
      <c r="D49" s="30"/>
      <c r="E49" s="30"/>
      <c r="F49" s="30"/>
      <c r="G49" s="42"/>
      <c r="H49" s="30"/>
      <c r="I49" s="30"/>
    </row>
    <row r="50" spans="1:15">
      <c r="A50" s="45" t="s">
        <v>195</v>
      </c>
      <c r="B50" s="46">
        <v>4213.8</v>
      </c>
      <c r="C50" s="4">
        <v>301.7</v>
      </c>
      <c r="D50" s="46">
        <v>14102.3</v>
      </c>
      <c r="E50" s="46">
        <v>48881.9</v>
      </c>
      <c r="F50" s="46">
        <v>331.2</v>
      </c>
      <c r="G50" s="27">
        <v>37732.800000000003</v>
      </c>
      <c r="H50" s="46">
        <v>33037.9</v>
      </c>
      <c r="I50" s="46">
        <f>SUM(B50:H50)</f>
        <v>138601.60000000001</v>
      </c>
    </row>
    <row r="51" spans="1:15" ht="18.75">
      <c r="A51" s="45" t="s">
        <v>150</v>
      </c>
      <c r="B51" s="46">
        <f>2024.8+2457.3</f>
        <v>4482.1000000000004</v>
      </c>
      <c r="C51" s="4">
        <v>1003</v>
      </c>
      <c r="D51" s="46">
        <f>10111+3239.1</f>
        <v>13350.1</v>
      </c>
      <c r="E51" s="46">
        <f>49981.1+1855.5</f>
        <v>51836.6</v>
      </c>
      <c r="F51" s="46">
        <f>331.2+1810</f>
        <v>2141.1999999999998</v>
      </c>
      <c r="G51" s="27">
        <f>25296.3-7949.8-21.6+19611.6+816.5</f>
        <v>37753</v>
      </c>
      <c r="H51" s="46">
        <f>7949.8+11799+12423.2+1720.9</f>
        <v>33892.9</v>
      </c>
      <c r="I51" s="46">
        <f>SUM(B51:H51)</f>
        <v>144458.9</v>
      </c>
      <c r="K51" s="62"/>
      <c r="L51" s="66"/>
      <c r="M51" s="67"/>
      <c r="N51" s="53"/>
      <c r="O51" s="51"/>
    </row>
    <row r="52" spans="1:15">
      <c r="A52" s="45"/>
      <c r="B52" s="46"/>
      <c r="C52" s="23" t="s">
        <v>35</v>
      </c>
      <c r="D52" s="46"/>
      <c r="E52" s="46"/>
      <c r="F52" s="46"/>
      <c r="G52" s="47"/>
      <c r="H52" s="46"/>
      <c r="I52" s="46"/>
    </row>
    <row r="53" spans="1:15" hidden="1">
      <c r="A53" s="28" t="s">
        <v>22</v>
      </c>
      <c r="B53" s="30">
        <f>1081.3+1325.5+1813.7+575.7</f>
        <v>4796.2</v>
      </c>
      <c r="C53" s="42">
        <f>151+10+318.9</f>
        <v>479.9</v>
      </c>
      <c r="D53" s="30">
        <f>1053+1796.7+83.9+997.2</f>
        <v>3930.8</v>
      </c>
      <c r="E53" s="30">
        <f>229.6+15.8+1479.5+968.9+458.3</f>
        <v>3152.1000000000004</v>
      </c>
      <c r="F53" s="30">
        <f>7267.5+454.5+200</f>
        <v>7922</v>
      </c>
      <c r="G53" s="42">
        <f>676.3+122.3+4737.3+599.4+3509+543.1+1650+388.5+669.9-202.8</f>
        <v>12693</v>
      </c>
      <c r="H53" s="30">
        <f>321.9+626.2+598.2+2128.2+192.4</f>
        <v>3866.9</v>
      </c>
      <c r="I53" s="30">
        <f t="shared" ref="I53:I58" si="5">SUM(B53:H53)</f>
        <v>36840.9</v>
      </c>
    </row>
    <row r="54" spans="1:15" hidden="1">
      <c r="A54" s="28" t="s">
        <v>37</v>
      </c>
      <c r="B54" s="30">
        <f>1081.3+1325.5+1813.7+575.7-1325.5+1134.6-1813.7+1519.5-575.7+540-1081.3+1082.5</f>
        <v>4276.5999999999995</v>
      </c>
      <c r="C54" s="42">
        <f>151+10+318.9</f>
        <v>479.9</v>
      </c>
      <c r="D54" s="30">
        <f>1053+1796.7+83.9+997.2-1796.7+1814.2-997.2+949.9-1053+1128</f>
        <v>3976.0000000000005</v>
      </c>
      <c r="E54" s="30">
        <f>229.6+15.8+1479.5+968.9+458.3-1479.5+1484.3-968.9+938.9-458.3+488.4-229.6+249.5</f>
        <v>3176.9000000000005</v>
      </c>
      <c r="F54" s="30">
        <f>7267.5+454.5+200</f>
        <v>7922</v>
      </c>
      <c r="G54" s="42">
        <f>676.3+122.3+4737.3+599.4+3509+543.1+1650+388.5+669.9-202.8-4737.3+4769.7-599.4+634-3509+3512.9-543.1+574-1650+1649.6-388.5+349.9-669.9+670+202.8-217.1-676.3+675.3-122.3+128.9</f>
        <v>12747.199999999999</v>
      </c>
      <c r="H54" s="30">
        <f>321.9+626.2+598.2+2128.2+192.4-626.2+627.4-598.2+577.4-2128.2+2204.7-192.4+131.8-321.9+275</f>
        <v>3816.2999999999997</v>
      </c>
      <c r="I54" s="30">
        <f t="shared" si="5"/>
        <v>36394.9</v>
      </c>
    </row>
    <row r="55" spans="1:15" hidden="1">
      <c r="A55" s="28" t="s">
        <v>38</v>
      </c>
      <c r="B55" s="30">
        <f>1081.3+1325.5+1813.7+575.7-1325.5+1134.6-1813.7+1519.5-575.7+540-1081.3+1082.5-540+657.3-1134.6+1334.1-1519.5+1674.5-1082.5+1152.5</f>
        <v>4818.3999999999996</v>
      </c>
      <c r="C55" s="42">
        <f>151+10+318.9</f>
        <v>479.9</v>
      </c>
      <c r="D55" s="30">
        <f>1053+1796.7+83.9+997.2-1796.7+1814.2-997.2+949.9-1053+1128-1814.2+1812.9-1128+958</f>
        <v>3804.7000000000003</v>
      </c>
      <c r="E55" s="30">
        <f>229.6+15.8+1479.5+968.9+458.3-1479.5+1484.3-968.9+938.9-458.3+488.4-229.6+249.5-488.4+488.5-15.8+16.7-938.9+902.1-1484.3+1487-249.5+191.3</f>
        <v>3085.6000000000004</v>
      </c>
      <c r="F55" s="30">
        <f>7267.5+454.5+200-7267.5+6445.5</f>
        <v>7100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5" s="30">
        <f>321.9+626.2+598.2+2128.2+192.4-626.2+627.4-598.2+577.4-2128.2+2204.7-192.4+131.8-321.9+275-131.8+121.6-627.4+690.2-2204.7+2426.1-577.4+799.2-275+291.5</f>
        <v>4328.5999999999995</v>
      </c>
      <c r="I55" s="30">
        <f t="shared" si="5"/>
        <v>36249.300000000003</v>
      </c>
    </row>
    <row r="56" spans="1:15" hidden="1">
      <c r="A56" s="28" t="s">
        <v>39</v>
      </c>
      <c r="B56" s="30">
        <f>1081.3+1325.5+1813.7+575.7-1325.5+1134.6-1813.7+1519.5-575.7+540-1081.3+1082.5-540+657.3-1134.6+1334.1-1519.5+1674.5-1082.5+1152.5-1334.1+1472.7-1152.5+1229.6-657.3+795.4-1674.5+1944-1229.6</f>
        <v>4212.1000000000004</v>
      </c>
      <c r="C56" s="42">
        <f>151+10+318.9-151</f>
        <v>328.9</v>
      </c>
      <c r="D56" s="30">
        <f>1053+1796.7+83.9+997.2-1796.7+1814.2-997.2+949.9-1053+1128-1814.2+1812.9-1128+958-1812.9+1804.3-958+1088-1088</f>
        <v>2838.1000000000004</v>
      </c>
      <c r="E56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6" s="30">
        <f>7267.5+454.5+200-7267.5+6445.5-6445.5+7233.5</f>
        <v>7888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6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6" s="30">
        <f t="shared" si="5"/>
        <v>33990.400000000001</v>
      </c>
    </row>
    <row r="57" spans="1:15" hidden="1">
      <c r="A57" s="28" t="s">
        <v>40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7" s="42">
        <f>151+10+318.9-151-10</f>
        <v>318.89999999999998</v>
      </c>
      <c r="D57" s="30">
        <f>1053+1796.7+83.9+997.2-1796.7+1814.2-997.2+949.9-1053+1128-1814.2+1812.9-1128+958-1812.9+1804.3-958+1088-1088-1804.3+1928.7-949.9+1052.7</f>
        <v>3065.3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7" s="30">
        <f>7267.5+454.5+200-7267.5+6445.5-6445.5+7233.5</f>
        <v>7888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7" s="30">
        <f t="shared" si="5"/>
        <v>36024.000000000007</v>
      </c>
    </row>
    <row r="58" spans="1:15" hidden="1">
      <c r="A58" s="28" t="s">
        <v>29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8" s="42">
        <f>151+10+318.9-151-10</f>
        <v>318.89999999999998</v>
      </c>
      <c r="D58" s="30">
        <f>1053+1796.7+83.9+997.2-1796.7+1814.2-997.2+949.9-1053+1128-1814.2+1812.9-1128+958-1812.9+1804.3-958+1088-1088-1804.3+1928.7-949.9+1052.7-1928.7+1975.1</f>
        <v>3111.7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8" s="30">
        <f>7267.5+454.5+200-7267.5+6445.5-6445.5+7233.5-7233.5+7294.3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8" s="30">
        <f t="shared" si="5"/>
        <v>38021.400000000009</v>
      </c>
    </row>
    <row r="59" spans="1:15" hidden="1">
      <c r="A59" s="28" t="s">
        <v>41</v>
      </c>
      <c r="B59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9" s="42">
        <f>151+10+318.9-151-10-318.9+328.9</f>
        <v>328.9</v>
      </c>
      <c r="D59" s="30">
        <f>1053+1796.7+83.9+997.2-1796.7+1814.2-997.2+949.9-1053+1128-1814.2+1812.9-1128+958-1812.9+1804.3-958+1088-1088-1804.3+1928.7-949.9+1052.7-1928.7+1975.1-1975.1+2077.7</f>
        <v>3214.2999999999997</v>
      </c>
      <c r="E59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9" s="30">
        <f>7267.5+454.5+200-7267.5+6445.5-6445.5+7233.5-7233.5+7294.3-7294.3+7294.3</f>
        <v>7948.8</v>
      </c>
      <c r="G59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9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9" s="30">
        <f t="shared" ref="I59:I64" si="6">SUM(B59:H59)</f>
        <v>39955.900000000009</v>
      </c>
    </row>
    <row r="60" spans="1:15" hidden="1">
      <c r="A60" s="28" t="s">
        <v>20</v>
      </c>
      <c r="B60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60" s="42">
        <f>151+10+318.9-151-10-318.9+328.9-328.9+368.9</f>
        <v>368.9</v>
      </c>
      <c r="D60" s="30">
        <f>1053+1796.7+83.9+997.2-1796.7+1814.2-997.2+949.9-1053+1128-1814.2+1812.9-1128+958-1812.9+1804.3-958+1088-1088-1804.3+1928.7-949.9+1052.7-1928.7+1975.1-1975.1+2077.7-1052.7+1155.6-2077.7+2149.4</f>
        <v>3388.8999999999996</v>
      </c>
      <c r="E60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60" s="30">
        <f>7267.5+454.5+200-7267.5+6445.5-6445.5+7233.5-7233.5+7294.3-7294.3+7294.3</f>
        <v>7948.8</v>
      </c>
      <c r="G60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60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60" s="30">
        <f t="shared" si="6"/>
        <v>41895.4</v>
      </c>
    </row>
    <row r="61" spans="1:15" hidden="1">
      <c r="A61" s="28" t="s">
        <v>21</v>
      </c>
      <c r="B61" s="30">
        <f>2747+3114.6+4687.5</f>
        <v>10549.1</v>
      </c>
      <c r="C61" s="42">
        <v>268.89999999999998</v>
      </c>
      <c r="D61" s="30">
        <f>83.9+1315.6+2170.9</f>
        <v>3570.4</v>
      </c>
      <c r="E61" s="30">
        <f>496.5+1572.9+863.7+171.5</f>
        <v>3104.6000000000004</v>
      </c>
      <c r="F61" s="30">
        <f>200+454.5+9883.8</f>
        <v>10538.3</v>
      </c>
      <c r="G61" s="42">
        <f>-297+672.8+3720.6+373.2+2195.5+45.7+5240.8+574.6</f>
        <v>12526.199999999999</v>
      </c>
      <c r="H61" s="30">
        <f>139.2+591.2+2604.2+617.2</f>
        <v>3951.8</v>
      </c>
      <c r="I61" s="30">
        <f t="shared" si="6"/>
        <v>44509.3</v>
      </c>
    </row>
    <row r="62" spans="1:15" hidden="1">
      <c r="A62" s="28" t="s">
        <v>42</v>
      </c>
      <c r="B62" s="30">
        <f>2743.7+3004.9+4346.7+120.9</f>
        <v>10216.199999999999</v>
      </c>
      <c r="C62" s="42">
        <v>268.89999999999998</v>
      </c>
      <c r="D62" s="30">
        <f>83.9+1379.3+2225.4</f>
        <v>3688.6000000000004</v>
      </c>
      <c r="E62" s="30">
        <f>450.1+1578.4+867.2+171.3</f>
        <v>3067</v>
      </c>
      <c r="F62" s="30">
        <f>200+454.5+9883.8</f>
        <v>10538.3</v>
      </c>
      <c r="G62" s="42">
        <f>-276.3+623+49.8+3723.3+419.4+2194.5+52.8+5234.4+653.6</f>
        <v>12674.5</v>
      </c>
      <c r="H62" s="30">
        <f>387.1+628.4+2664.6+566.2</f>
        <v>4246.3</v>
      </c>
      <c r="I62" s="30">
        <f t="shared" si="6"/>
        <v>44699.8</v>
      </c>
    </row>
    <row r="63" spans="1:15" hidden="1">
      <c r="A63" s="28" t="s">
        <v>43</v>
      </c>
      <c r="B63" s="30">
        <f>2575.1+2997.5+4059.1+387.2</f>
        <v>10018.900000000001</v>
      </c>
      <c r="C63" s="42">
        <v>268.89999999999998</v>
      </c>
      <c r="D63" s="30">
        <f>83.9+1229.4+2172.4</f>
        <v>3485.7000000000003</v>
      </c>
      <c r="E63" s="30">
        <f>455.3+1575+924.1+171.2</f>
        <v>3125.6</v>
      </c>
      <c r="F63" s="30">
        <f>200+454.5+9785.5</f>
        <v>10440</v>
      </c>
      <c r="G63" s="42">
        <f>-292.9+623+49.8+3901.3+448.1+2194.2+75.8+5188.1+707.1</f>
        <v>12894.500000000002</v>
      </c>
      <c r="H63" s="30">
        <f>143.7+591.4+2778.9+601.6</f>
        <v>4115.6000000000004</v>
      </c>
      <c r="I63" s="30">
        <f t="shared" si="6"/>
        <v>44349.200000000004</v>
      </c>
    </row>
    <row r="64" spans="1:15" hidden="1">
      <c r="A64" s="28" t="s">
        <v>17</v>
      </c>
      <c r="B64" s="30">
        <f>2454+3245+3400+88.5</f>
        <v>9187.5</v>
      </c>
      <c r="C64" s="42">
        <v>268.89999999999998</v>
      </c>
      <c r="D64" s="30">
        <f>83.9+1192.4+2218.3</f>
        <v>3494.6000000000004</v>
      </c>
      <c r="E64" s="30">
        <f>467.9+1581.8+873.7+172</f>
        <v>3095.3999999999996</v>
      </c>
      <c r="F64" s="30">
        <f>200+454.5+10159.3</f>
        <v>10813.8</v>
      </c>
      <c r="G64" s="42">
        <f>-423.8+708+157.6+3928.9+446.1+2200.4+346.4+5194.2+701.5</f>
        <v>13259.3</v>
      </c>
      <c r="H64" s="30">
        <f>160.3+689.2+2216.5+635.8</f>
        <v>3701.8</v>
      </c>
      <c r="I64" s="30">
        <f t="shared" si="6"/>
        <v>43821.3</v>
      </c>
    </row>
    <row r="65" spans="1:9" hidden="1">
      <c r="A65" s="28"/>
      <c r="B65" s="30"/>
      <c r="C65" s="42"/>
      <c r="D65" s="30"/>
      <c r="E65" s="30"/>
      <c r="F65" s="30"/>
      <c r="G65" s="42"/>
      <c r="H65" s="30"/>
      <c r="I65" s="30"/>
    </row>
    <row r="66" spans="1:9" hidden="1">
      <c r="A66" s="28"/>
      <c r="B66" s="30"/>
      <c r="C66" s="42"/>
      <c r="D66" s="30"/>
      <c r="E66" s="30"/>
      <c r="F66" s="30"/>
      <c r="G66" s="42"/>
      <c r="H66" s="30"/>
      <c r="I66" s="30"/>
    </row>
    <row r="67" spans="1:9" hidden="1">
      <c r="A67" s="28" t="s">
        <v>23</v>
      </c>
      <c r="B67" s="30">
        <f>24.4+2379.8+2086.8+2681.8</f>
        <v>7172.8</v>
      </c>
      <c r="C67" s="42">
        <v>268.89999999999998</v>
      </c>
      <c r="D67" s="30">
        <f>83.9+2250.5+1208.5</f>
        <v>3542.9</v>
      </c>
      <c r="E67" s="30">
        <f>1681.7+171.5+456.3+874.4</f>
        <v>3183.9</v>
      </c>
      <c r="F67" s="30">
        <f>415.6+10159.3+200</f>
        <v>10774.9</v>
      </c>
      <c r="G67" s="42">
        <f>4059.6+375.5+846.6-198+5205.3+786.5+790.6-430.5+2221.9+338.2</f>
        <v>13995.7</v>
      </c>
      <c r="H67" s="30">
        <f>551.1+71.1+601.8+178.5+2239.3</f>
        <v>3641.8</v>
      </c>
      <c r="I67" s="30">
        <f t="shared" ref="I67:I72" si="7">SUM(B67:H67)</f>
        <v>42580.900000000009</v>
      </c>
    </row>
    <row r="68" spans="1:9" hidden="1">
      <c r="A68" s="28" t="s">
        <v>24</v>
      </c>
      <c r="B68" s="30">
        <f>200.5+2139.7+1893.1+2426.1</f>
        <v>6659.4</v>
      </c>
      <c r="C68" s="42">
        <v>268.89999999999998</v>
      </c>
      <c r="D68" s="30">
        <f>83.9+2256.7+1016.3</f>
        <v>3356.8999999999996</v>
      </c>
      <c r="E68" s="30">
        <f>1688.5+101.6+448.8+931.2</f>
        <v>3170.1000000000004</v>
      </c>
      <c r="F68" s="30">
        <f>415.6+10159.3+200</f>
        <v>10774.9</v>
      </c>
      <c r="G68" s="42">
        <f>4107+369.1+956.3-310.3+5280.2+793.9+840.6-440.4+2236.6+316.3</f>
        <v>14149.3</v>
      </c>
      <c r="H68" s="30">
        <f>550.5+65.2+622+185.5+2542.9</f>
        <v>3966.1000000000004</v>
      </c>
      <c r="I68" s="30">
        <f t="shared" si="7"/>
        <v>42345.599999999999</v>
      </c>
    </row>
    <row r="69" spans="1:9" hidden="1">
      <c r="A69" s="28" t="s">
        <v>25</v>
      </c>
      <c r="B69" s="30">
        <f>0.2+2178.4+1725.3+2704.8</f>
        <v>6608.7</v>
      </c>
      <c r="C69" s="42">
        <v>268.89999999999998</v>
      </c>
      <c r="D69" s="30">
        <f>83.9+2251.1+816.3</f>
        <v>3151.3</v>
      </c>
      <c r="E69" s="30">
        <f>1700.2+101.7+430.5+829.4</f>
        <v>3061.8</v>
      </c>
      <c r="F69" s="30">
        <f>415.6+10536.1+200</f>
        <v>11151.7</v>
      </c>
      <c r="G69" s="42">
        <f>4299.4+1.3+969.3-327.1+5952.2+124.7+832.8-446.3+2367.9-81</f>
        <v>13693.199999999999</v>
      </c>
      <c r="H69" s="30">
        <f>752.7+73+669.1+196.4+2673.3</f>
        <v>4364.5</v>
      </c>
      <c r="I69" s="30">
        <f t="shared" si="7"/>
        <v>42300.1</v>
      </c>
    </row>
    <row r="70" spans="1:9" hidden="1">
      <c r="A70" s="28" t="s">
        <v>26</v>
      </c>
      <c r="B70" s="30">
        <f>0.2+1371.5+1466.1+1918.8</f>
        <v>4756.6000000000004</v>
      </c>
      <c r="C70" s="42">
        <v>288.89999999999998</v>
      </c>
      <c r="D70" s="30">
        <f>133.9+2287.5+816.3</f>
        <v>3237.7</v>
      </c>
      <c r="E70" s="30">
        <f>1682.2+101.8+431.2+779.4</f>
        <v>2994.6</v>
      </c>
      <c r="F70" s="30">
        <f>415.6+10536.1+200</f>
        <v>11151.7</v>
      </c>
      <c r="G70" s="42">
        <f>4280.8+51.5+979-341.3+5957.7+277+837.8-449.2+2367.5+172.8</f>
        <v>14133.599999999999</v>
      </c>
      <c r="H70" s="30">
        <f>561.6+73.6+645.3+193.4+2524.2</f>
        <v>3998.1</v>
      </c>
      <c r="I70" s="30">
        <f t="shared" si="7"/>
        <v>40561.199999999997</v>
      </c>
    </row>
    <row r="71" spans="1:9" hidden="1">
      <c r="A71" s="28" t="s">
        <v>27</v>
      </c>
      <c r="B71" s="30">
        <f>73.6+1371.2+1402.3</f>
        <v>2847.1</v>
      </c>
      <c r="C71" s="42" t="s">
        <v>35</v>
      </c>
      <c r="D71" s="30">
        <f>133.9+2190</f>
        <v>2323.9</v>
      </c>
      <c r="E71" s="30">
        <f>1685.8+102.1+433.9</f>
        <v>2221.7999999999997</v>
      </c>
      <c r="F71" s="30">
        <f>415.6+10422.5+200</f>
        <v>11038.1</v>
      </c>
      <c r="G71" s="42">
        <f>4275.9+91.4+989.7-353.2+5996.1+324.6+837.8-460.3</f>
        <v>11702</v>
      </c>
      <c r="H71" s="30">
        <f>563.7+68.3+654.4+186.4</f>
        <v>1472.8000000000002</v>
      </c>
      <c r="I71" s="30">
        <f t="shared" si="7"/>
        <v>31605.7</v>
      </c>
    </row>
    <row r="72" spans="1:9" hidden="1">
      <c r="A72" s="28" t="s">
        <v>28</v>
      </c>
      <c r="B72" s="30">
        <f>79+931.1+1286.9</f>
        <v>2297</v>
      </c>
      <c r="C72" s="42" t="s">
        <v>35</v>
      </c>
      <c r="D72" s="30">
        <f>133.9+2244.9</f>
        <v>2378.8000000000002</v>
      </c>
      <c r="E72" s="30">
        <f>1699.9+101.4+421.7</f>
        <v>2223</v>
      </c>
      <c r="F72" s="30">
        <f>415.6+10989.1+200</f>
        <v>11604.7</v>
      </c>
      <c r="G72" s="42">
        <f>4276.7+132.1+1012-378.4+6059.5+384.6+837.8-467.2</f>
        <v>11857.1</v>
      </c>
      <c r="H72" s="30">
        <f>569.5+67.5+717.3+188.6</f>
        <v>1542.8999999999999</v>
      </c>
      <c r="I72" s="30">
        <f t="shared" si="7"/>
        <v>31903.5</v>
      </c>
    </row>
    <row r="73" spans="1:9" hidden="1">
      <c r="A73" s="28" t="s">
        <v>30</v>
      </c>
      <c r="B73" s="30">
        <f>79+931.1+1286.9-1286.9+1231.7+3-931.1+543.9-79+1.3</f>
        <v>1779.9000000000003</v>
      </c>
      <c r="C73" s="42" t="s">
        <v>35</v>
      </c>
      <c r="D73" s="30">
        <f>133.9+2244.9-2244.9+2312.7</f>
        <v>2446.6</v>
      </c>
      <c r="E73" s="30">
        <f>1699.9+101.4+421.7-421.7+424.7-101.4+103.4-1699.9+1697.5</f>
        <v>2225.6</v>
      </c>
      <c r="F73" s="30">
        <f>415.6+10989.1+200</f>
        <v>11604.7</v>
      </c>
      <c r="G73" s="42">
        <f>4276.7+132.1+1012-378.4+6059.5+384.6+837.8-467.2+467.2-476.3-1012+1017.5+378.4-391.6-6059.5+6080.4-384.6+448.2-4276.7+4268.5-132.1+191.8</f>
        <v>11976.300000000001</v>
      </c>
      <c r="H73" s="30">
        <f>569.5+67.5+717.3+188.6-188.6+193.1-67.5+94.3-717.3+698.5-569.5+591.9</f>
        <v>1577.7999999999997</v>
      </c>
      <c r="I73" s="30">
        <f t="shared" ref="I73:I78" si="8">SUM(B73:H73)</f>
        <v>31610.900000000005</v>
      </c>
    </row>
    <row r="74" spans="1:9" hidden="1">
      <c r="A74" s="28" t="s">
        <v>31</v>
      </c>
      <c r="B74" s="30">
        <v>1851.5</v>
      </c>
      <c r="C74" s="42" t="s">
        <v>35</v>
      </c>
      <c r="D74" s="30">
        <v>2488.8000000000002</v>
      </c>
      <c r="E74" s="30">
        <v>2221.1</v>
      </c>
      <c r="F74" s="30">
        <v>11604.7</v>
      </c>
      <c r="G74" s="42">
        <v>12087.9</v>
      </c>
      <c r="H74" s="30">
        <v>1640.6</v>
      </c>
      <c r="I74" s="30">
        <f t="shared" si="8"/>
        <v>31894.6</v>
      </c>
    </row>
    <row r="75" spans="1:9" hidden="1">
      <c r="A75" s="28" t="s">
        <v>32</v>
      </c>
      <c r="B75" s="30">
        <f>1851.5+60-1223.6+1235.2-627.8+540.3-0.1+154.4</f>
        <v>1989.9000000000003</v>
      </c>
      <c r="C75" s="42" t="s">
        <v>35</v>
      </c>
      <c r="D75" s="30">
        <f>2488.8-2354.9+2403.2</f>
        <v>2537.1</v>
      </c>
      <c r="E75" s="30">
        <f>2221.1-433.3+435.5-102.1+107.6-1685.7+1678.4</f>
        <v>2221.5</v>
      </c>
      <c r="F75" s="30">
        <f>11604.7-10989.1+11206.5</f>
        <v>11822.1</v>
      </c>
      <c r="G75" s="42">
        <f>12087.9-1006.9+1012.3+384.9-399.3+506.2-530.2-6162.8+6144.7-458.1+529.7-4277.2+4266.8-236.2+302.8</f>
        <v>12164.599999999999</v>
      </c>
      <c r="H75" s="30">
        <f>1640.6-151.2+157.5-192.7+201-626.1+633.8-670.6+643.5</f>
        <v>1635.7999999999997</v>
      </c>
      <c r="I75" s="30">
        <f t="shared" si="8"/>
        <v>32370.999999999996</v>
      </c>
    </row>
    <row r="76" spans="1:9" hidden="1">
      <c r="A76" s="28" t="s">
        <v>33</v>
      </c>
      <c r="B76" s="30">
        <f>1851.5+60-1223.6+1235.2-627.8+540.3-0.1+154.4-1235.2+1220.8-540.3+750-154.4+1.6</f>
        <v>2032.4</v>
      </c>
      <c r="C76" s="42" t="s">
        <v>35</v>
      </c>
      <c r="D76" s="30">
        <f>2488.8-2354.9+2403.2-2403.2+2312.3</f>
        <v>2446.2000000000003</v>
      </c>
      <c r="E76" s="30">
        <f>2221.1-433.3+435.5-102.1+107.6-1685.7+1678.4-435.5+440.6-107.6+167.2-1678.4+1662.4</f>
        <v>2270.1999999999998</v>
      </c>
      <c r="F76" s="30">
        <f>11604.7-10989.1+11206.5</f>
        <v>11822.1</v>
      </c>
      <c r="G76" s="42">
        <f>12087.9-1006.9+1012.3+384.9-399.3+506.2-530.2-6162.8+6144.7-458.1+529.7-4277.2+4266.8-236.2+302.8-1012.3+1017.8+530.2-557-11206.5+11089.2-6144.7+6295.6-529.7+558.3-4266.8+4243.8-302.8+391</f>
        <v>12270.7</v>
      </c>
      <c r="H76" s="30">
        <f>1640.6-151.2+157.5-192.7+201-626.1+633.8-670.6+643.5-157.5+158.3+399.3-402.4-201+209.2-633.8+726.8-643.5+641.3</f>
        <v>1732.4999999999995</v>
      </c>
      <c r="I76" s="30">
        <f t="shared" si="8"/>
        <v>32574.100000000002</v>
      </c>
    </row>
    <row r="77" spans="1:9" hidden="1">
      <c r="A77" s="28" t="s">
        <v>34</v>
      </c>
      <c r="B77" s="30">
        <f>1851.5+60-1223.6+1235.2-627.8+540.3-0.1+154.4-1235.2+1220.8-540.3+750-154.4+1.6-1220.8+1156.3-1.6+151.1-750+708.4</f>
        <v>2075.8000000000002</v>
      </c>
      <c r="C77" s="42" t="s">
        <v>35</v>
      </c>
      <c r="D77" s="30">
        <f>2488.8-2354.9+2403.2-2403.2+2312.3-2312.3+2365.9</f>
        <v>2499.8000000000002</v>
      </c>
      <c r="E77" s="30">
        <f>2221.1-433.3+435.5-102.1+107.6-1685.7+1678.4-435.5+440.6-107.6+167.2-1678.4+1662.4-440.6+262.1-1662.4+2101.5</f>
        <v>2530.7999999999997</v>
      </c>
      <c r="F77" s="30">
        <f>11604.7-10989.1+11206.5</f>
        <v>11822.1</v>
      </c>
      <c r="G77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7" s="30">
        <f>1640.6-151.2+157.5-192.7+201-626.1+633.8-670.6+643.5-157.5+158.3+399.3-402.4-201+209.2-633.8+726.8-643.5+641.3+402.4-407.2-158.3+160.2-209.2+197.6-641.3+621.7-726.8+647.1</f>
        <v>1618.6999999999998</v>
      </c>
      <c r="I77" s="30">
        <f t="shared" si="8"/>
        <v>33041.1</v>
      </c>
    </row>
    <row r="78" spans="1:9" hidden="1">
      <c r="A78" s="28" t="s">
        <v>36</v>
      </c>
      <c r="B78" s="30">
        <f>1851.5+60-1223.6+1235.2-627.8+540.3-0.1+154.4-1235.2+1220.8-540.3+750-154.4+1.6-1220.8+1156.3-1.6+151.1-750+708.4-60+60.3-1156.3+1134.5-708.4+722.3-151.1+275.9</f>
        <v>2193</v>
      </c>
      <c r="C78" s="42" t="s">
        <v>35</v>
      </c>
      <c r="D78" s="30">
        <f>2488.8-2354.9+2403.2-2403.2+2312.3-2312.3+2365.9-2365.9+2407.9-133.9+186.1</f>
        <v>2594</v>
      </c>
      <c r="E78" s="30">
        <f>2221.1-433.3+435.5-102.1+107.6-1685.7+1678.4-435.5+440.6-107.6+167.2-1678.4+1662.4-440.6+262.1-1662.4+2101.5-262.1+168.6-167.2+166.5-2101.5+2135.3</f>
        <v>2470.4</v>
      </c>
      <c r="F78" s="30">
        <f>11604.7-10989.1+11206.5-11089.2+11916.4-415.5+408.9</f>
        <v>12642.699999999999</v>
      </c>
      <c r="G78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8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8" s="30">
        <f t="shared" si="8"/>
        <v>33938.700000000004</v>
      </c>
    </row>
    <row r="79" spans="1:9" hidden="1">
      <c r="A79" s="28"/>
      <c r="B79" s="30"/>
      <c r="C79" s="42"/>
      <c r="D79" s="30"/>
      <c r="E79" s="30"/>
      <c r="F79" s="30"/>
      <c r="G79" s="42"/>
      <c r="H79" s="30"/>
      <c r="I79" s="30"/>
    </row>
    <row r="80" spans="1:9" hidden="1">
      <c r="A80" s="28" t="s">
        <v>44</v>
      </c>
      <c r="B80" s="30">
        <f>1851.5+60-1223.6+1235.2-627.8+540.3-0.1+154.4-1235.2+1220.8-540.3+750-154.4+1.6-1220.8+1156.3-1.6+151.1-750+708.4-60+60.3-1156.3+1134.5-708.4+722.3-151.1+275.9-60.3-722.3+656.6-275.9+0.7</f>
        <v>1791.8</v>
      </c>
      <c r="C80" s="42" t="s">
        <v>35</v>
      </c>
      <c r="D80" s="30">
        <f>2488.8-2354.9+2403.2-2403.2+2312.3-2312.3+2365.9-2365.9+2407.9-133.9+186.1+56.3-2407.9+2301.5</f>
        <v>2543.9</v>
      </c>
      <c r="E80" s="30">
        <f>2221.1-433.3+435.5-102.1+107.6-1685.7+1678.4-435.5+440.6-107.6+167.2-1678.4+1662.4-440.6+262.1-1662.4+2101.5-262.1+168.6-167.2+166.5-2101.5+2135.3-168.6+168.7-166.5+167.2-2135.3+2163.5</f>
        <v>2499.3999999999996</v>
      </c>
      <c r="F80" s="30">
        <f>11604.7-10989.1+11206.5-11089.2+11916.4-415.5+408.9-408.9+409.1</f>
        <v>12642.9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80" s="30">
        <f t="shared" ref="I80:I85" si="9">SUM(B80:H80)</f>
        <v>33707.500000000007</v>
      </c>
    </row>
    <row r="81" spans="1:9" hidden="1">
      <c r="A81" s="28" t="s">
        <v>49</v>
      </c>
      <c r="B81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81" s="42" t="s">
        <v>35</v>
      </c>
      <c r="D81" s="30">
        <f>2488.8-2354.9+2403.2-2403.2+2312.3-2312.3+2365.9-2365.9+2407.9-133.9+186.1+56.3-2407.9+2301.5-56.3-2301.5+2289.4</f>
        <v>2475.5</v>
      </c>
      <c r="E81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81" s="30">
        <f>11604.7-10989.1+11206.5-11089.2+11916.4-415.5+408.9-408.9+409.1-409.1+402.4</f>
        <v>12636.199999999999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81" s="30">
        <f t="shared" si="9"/>
        <v>33216.6</v>
      </c>
    </row>
    <row r="82" spans="1:9" hidden="1">
      <c r="A82" s="28" t="s">
        <v>45</v>
      </c>
      <c r="B82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2" s="42" t="s">
        <v>35</v>
      </c>
      <c r="D82" s="30">
        <f>2488.8-2354.9+2403.2-2403.2+2312.3-2312.3+2365.9-2365.9+2407.9-133.9+186.1+56.3-2407.9+2301.5-56.3-2301.5+2289.4-2289.4+2318.8</f>
        <v>2504.9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2" s="30">
        <f>11604.7-10989.1+11206.5-11089.2+11916.4-415.5+408.9-408.9+409.1-409.1+402.4-11916.4+11704.6</f>
        <v>12424.4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2" s="30">
        <f t="shared" si="9"/>
        <v>33140.600000000006</v>
      </c>
    </row>
    <row r="83" spans="1:9" hidden="1">
      <c r="A83" s="28" t="s">
        <v>51</v>
      </c>
      <c r="B83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3" s="42" t="s">
        <v>35</v>
      </c>
      <c r="D83" s="30">
        <f>2488.8-2354.9+2403.2-2403.2+2312.3-2312.3+2365.9-2365.9+2407.9-133.9+186.1+56.3-2407.9+2301.5-56.3-2301.5+2289.4-2289.4+2318.8-2318.8+2208.9</f>
        <v>2395</v>
      </c>
      <c r="E83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3" s="30">
        <f>11604.7-10989.1+11206.5-11089.2+11916.4-415.5+408.9-408.9+409.1-409.1+402.4-11916.4+11704.6-11704.6+11582.1</f>
        <v>12301.9</v>
      </c>
      <c r="G83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3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3" s="30">
        <f t="shared" si="9"/>
        <v>33558.400000000001</v>
      </c>
    </row>
    <row r="84" spans="1:9" hidden="1">
      <c r="A84" s="28" t="s">
        <v>52</v>
      </c>
      <c r="B84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4" s="42" t="s">
        <v>35</v>
      </c>
      <c r="D84" s="30">
        <f>2488.8-2354.9+2403.2-2403.2+2312.3-2312.3+2365.9-2365.9+2407.9-133.9+186.1+56.3-2407.9+2301.5-56.3-2301.5+2289.4-2289.4+2318.8-2318.8+2208.9-2208.9+2252.5</f>
        <v>2438.6</v>
      </c>
      <c r="E84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4" s="30">
        <f>11604.7-10989.1+11206.5-11089.2+11916.4-415.5+408.9-408.9+409.1-409.1+402.4-11916.4+11704.6-11704.6+11582.1</f>
        <v>12301.9</v>
      </c>
      <c r="G84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4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4" s="30">
        <f t="shared" si="9"/>
        <v>34742.400000000001</v>
      </c>
    </row>
    <row r="85" spans="1:9" hidden="1">
      <c r="A85" s="28" t="s">
        <v>53</v>
      </c>
      <c r="B85" s="30">
        <f>37.2+2917.6</f>
        <v>2954.7999999999997</v>
      </c>
      <c r="C85" s="42" t="s">
        <v>35</v>
      </c>
      <c r="D85" s="30">
        <f>2324.3+206.1</f>
        <v>2530.4</v>
      </c>
      <c r="E85" s="30">
        <f>189.2+2156.9</f>
        <v>2346.1</v>
      </c>
      <c r="F85" s="30">
        <f>11511.5+402.4</f>
        <v>11913.9</v>
      </c>
      <c r="G85" s="42">
        <f>1146-443.5+7010.5+306.3+4490.2+210.8</f>
        <v>12720.3</v>
      </c>
      <c r="H85" s="30">
        <f>69.1+809.8+498</f>
        <v>1376.9</v>
      </c>
      <c r="I85" s="30">
        <f t="shared" si="9"/>
        <v>33842.399999999994</v>
      </c>
    </row>
    <row r="86" spans="1:9" hidden="1">
      <c r="A86" s="28" t="s">
        <v>54</v>
      </c>
      <c r="B86" s="30">
        <f>33.3+5115.7</f>
        <v>5149</v>
      </c>
      <c r="C86" s="42" t="s">
        <v>35</v>
      </c>
      <c r="D86" s="30">
        <f>2359.3+206.1</f>
        <v>2565.4</v>
      </c>
      <c r="E86" s="30">
        <f>188.8+2148.3</f>
        <v>2337.1000000000004</v>
      </c>
      <c r="F86" s="30">
        <f>11511.5+402.4</f>
        <v>11913.9</v>
      </c>
      <c r="G86" s="42">
        <f>1165.5-441.4+7025.6+365.5+4481.7+250</f>
        <v>12846.900000000001</v>
      </c>
      <c r="H86" s="30">
        <f>44.3+912.6+516.4</f>
        <v>1473.3</v>
      </c>
      <c r="I86" s="30">
        <f t="shared" ref="I86:I91" si="10">SUM(B86:H86)</f>
        <v>36285.600000000006</v>
      </c>
    </row>
    <row r="87" spans="1:9" hidden="1">
      <c r="A87" s="28" t="s">
        <v>55</v>
      </c>
      <c r="B87" s="30">
        <f>29.3+3532</f>
        <v>3561.3</v>
      </c>
      <c r="C87" s="42" t="s">
        <v>35</v>
      </c>
      <c r="D87" s="30">
        <f>2382.5+219.2</f>
        <v>2601.6999999999998</v>
      </c>
      <c r="E87" s="30">
        <f>184.2+2108.8</f>
        <v>2293</v>
      </c>
      <c r="F87" s="30">
        <f>11511.5+402.4</f>
        <v>11913.9</v>
      </c>
      <c r="G87" s="42">
        <f>1172.5-457.6+7231+404.8+4474.5+301.3</f>
        <v>13126.499999999998</v>
      </c>
      <c r="H87" s="30">
        <f>38.5+826.8+491</f>
        <v>1356.3</v>
      </c>
      <c r="I87" s="30">
        <f t="shared" si="10"/>
        <v>34852.700000000004</v>
      </c>
    </row>
    <row r="88" spans="1:9" hidden="1">
      <c r="A88" s="28" t="s">
        <v>56</v>
      </c>
      <c r="B88" s="30">
        <f>29.3+3532-29.3+25.3-3532+2723.6</f>
        <v>2748.9</v>
      </c>
      <c r="C88" s="42" t="s">
        <v>35</v>
      </c>
      <c r="D88" s="30">
        <f>2382.5+219.2-2382.5+2419</f>
        <v>2638.2</v>
      </c>
      <c r="E88" s="30">
        <f>184.2+2108.8-2108.8+2105.9-184.2+184.3</f>
        <v>2290.2000000000003</v>
      </c>
      <c r="F88" s="30">
        <f>11511.5+402.4-11511.5+11684</f>
        <v>12086.4</v>
      </c>
      <c r="G88" s="42">
        <f>1172.5-457.6+7231+404.8+4474.5+301.3-1172.5+1174.9+457.6-467.2-4474.5+4477.3-301.3+343.7-7231+7233.8-404.8+469</f>
        <v>13231.5</v>
      </c>
      <c r="H88" s="30">
        <f>38.5+826.8+491-38.5+36.9-491+499.1-826.8+781</f>
        <v>1317.0000000000002</v>
      </c>
      <c r="I88" s="30">
        <f t="shared" si="10"/>
        <v>34312.199999999997</v>
      </c>
    </row>
    <row r="89" spans="1:9" hidden="1">
      <c r="A89" s="28" t="s">
        <v>58</v>
      </c>
      <c r="B89" s="7">
        <f>14.2+2271.4</f>
        <v>2285.6</v>
      </c>
      <c r="C89" s="42" t="s">
        <v>35</v>
      </c>
      <c r="D89" s="30">
        <f>234.2+2266.4</f>
        <v>2500.6</v>
      </c>
      <c r="E89" s="30">
        <f>2122.1+184</f>
        <v>2306.1</v>
      </c>
      <c r="F89" s="30">
        <f>402.4+11561.1</f>
        <v>11963.5</v>
      </c>
      <c r="G89" s="42">
        <f>4502.3+387.4+7340+514.2</f>
        <v>12743.900000000001</v>
      </c>
      <c r="H89" s="30">
        <f>529.7+823.3</f>
        <v>1353</v>
      </c>
      <c r="I89" s="30">
        <f t="shared" si="10"/>
        <v>33152.699999999997</v>
      </c>
    </row>
    <row r="90" spans="1:9" hidden="1">
      <c r="A90" s="28" t="s">
        <v>57</v>
      </c>
      <c r="B90" s="30">
        <f>40.4+1826.3</f>
        <v>1866.7</v>
      </c>
      <c r="C90" s="42" t="s">
        <v>35</v>
      </c>
      <c r="D90" s="30">
        <f>234.2+2191.1</f>
        <v>2425.2999999999997</v>
      </c>
      <c r="E90" s="30">
        <f>2062.3+183</f>
        <v>2245.3000000000002</v>
      </c>
      <c r="F90" s="30">
        <f>402.4+8700.3</f>
        <v>9102.6999999999989</v>
      </c>
      <c r="G90" s="42">
        <f>4478.5+472.4+7257.2+614.1</f>
        <v>12822.199999999999</v>
      </c>
      <c r="H90" s="30">
        <f>533+880.8</f>
        <v>1413.8</v>
      </c>
      <c r="I90" s="30">
        <f t="shared" si="10"/>
        <v>29875.999999999996</v>
      </c>
    </row>
    <row r="91" spans="1:9" hidden="1">
      <c r="A91" s="28" t="s">
        <v>59</v>
      </c>
      <c r="B91" s="30">
        <f>56.6+836.5</f>
        <v>893.1</v>
      </c>
      <c r="C91" s="42" t="s">
        <v>35</v>
      </c>
      <c r="D91" s="30">
        <f>234.2+1844.2</f>
        <v>2078.4</v>
      </c>
      <c r="E91" s="30">
        <f>2006.6+183.9</f>
        <v>2190.5</v>
      </c>
      <c r="F91" s="30">
        <f>402.4+8658.3</f>
        <v>9060.6999999999989</v>
      </c>
      <c r="G91" s="42">
        <f>4482.5+479.6+7393.6+511.1</f>
        <v>12866.800000000001</v>
      </c>
      <c r="H91" s="30">
        <f>667.9+902.1</f>
        <v>1570</v>
      </c>
      <c r="I91" s="30">
        <f t="shared" si="10"/>
        <v>28659.5</v>
      </c>
    </row>
    <row r="92" spans="1:9" hidden="1">
      <c r="A92" s="28"/>
      <c r="B92" s="30"/>
      <c r="C92" s="42"/>
      <c r="D92" s="30"/>
      <c r="E92" s="30"/>
      <c r="F92" s="30"/>
      <c r="G92" s="42"/>
      <c r="H92" s="30"/>
      <c r="I92" s="30"/>
    </row>
    <row r="93" spans="1:9" hidden="1">
      <c r="A93" s="28" t="s">
        <v>46</v>
      </c>
      <c r="B93" s="30">
        <f>3.4+1823</f>
        <v>1826.4</v>
      </c>
      <c r="C93" s="42" t="s">
        <v>35</v>
      </c>
      <c r="D93" s="30">
        <f>70+2278.6</f>
        <v>2348.6</v>
      </c>
      <c r="E93" s="30">
        <f>2101.7+185.1</f>
        <v>2286.7999999999997</v>
      </c>
      <c r="F93" s="30">
        <f>560.4+4546.6</f>
        <v>5107</v>
      </c>
      <c r="G93" s="42">
        <f>4497.3+496.9+7397.3+570.4</f>
        <v>12961.9</v>
      </c>
      <c r="H93" s="30">
        <f>687.7+859.7</f>
        <v>1547.4</v>
      </c>
      <c r="I93" s="30">
        <f t="shared" ref="I93:I98" si="11">SUM(B93:H93)</f>
        <v>26078.1</v>
      </c>
    </row>
    <row r="94" spans="1:9" hidden="1">
      <c r="A94" s="28" t="s">
        <v>61</v>
      </c>
      <c r="B94" s="30">
        <f>475.1</f>
        <v>475.1</v>
      </c>
      <c r="C94" s="42" t="s">
        <v>35</v>
      </c>
      <c r="D94" s="30">
        <f>70+2347.6</f>
        <v>2417.6</v>
      </c>
      <c r="E94" s="30">
        <f>2106.8+185.4</f>
        <v>2292.2000000000003</v>
      </c>
      <c r="F94" s="30">
        <f>560.4+4546.6</f>
        <v>5107</v>
      </c>
      <c r="G94" s="42">
        <f>4514+526.2+7309.3+690.9</f>
        <v>13040.4</v>
      </c>
      <c r="H94" s="30">
        <f>689.9+848.1</f>
        <v>1538</v>
      </c>
      <c r="I94" s="30">
        <f t="shared" si="11"/>
        <v>24870.3</v>
      </c>
    </row>
    <row r="95" spans="1:9" hidden="1">
      <c r="A95" s="28" t="s">
        <v>47</v>
      </c>
      <c r="B95" s="30">
        <f>0.4+0.3</f>
        <v>0.7</v>
      </c>
      <c r="C95" s="42">
        <v>0</v>
      </c>
      <c r="D95" s="30">
        <f>70+2365.7</f>
        <v>2435.6999999999998</v>
      </c>
      <c r="E95" s="30">
        <f>2228.1+196.3</f>
        <v>2424.4</v>
      </c>
      <c r="F95" s="30">
        <f>560.4+4482</f>
        <v>5042.3999999999996</v>
      </c>
      <c r="G95" s="42">
        <f>4723.8+132+7831.1+208.9</f>
        <v>12895.800000000001</v>
      </c>
      <c r="H95" s="30">
        <f>856.8+854.4</f>
        <v>1711.1999999999998</v>
      </c>
      <c r="I95" s="30">
        <f t="shared" si="11"/>
        <v>24510.2</v>
      </c>
    </row>
    <row r="96" spans="1:9" hidden="1">
      <c r="A96" s="28" t="s">
        <v>39</v>
      </c>
      <c r="B96" s="30">
        <v>0</v>
      </c>
      <c r="C96" s="42">
        <v>0</v>
      </c>
      <c r="D96" s="30">
        <f>70+2350.4</f>
        <v>2420.4</v>
      </c>
      <c r="E96" s="30">
        <f>2219.3+198.8</f>
        <v>2418.1000000000004</v>
      </c>
      <c r="F96" s="30">
        <f>553.6+4482</f>
        <v>5035.6000000000004</v>
      </c>
      <c r="G96" s="42">
        <f>4721.1+178.4+7826.3+149.4</f>
        <v>12875.199999999999</v>
      </c>
      <c r="H96" s="30">
        <f>606.9+1859.8</f>
        <v>2466.6999999999998</v>
      </c>
      <c r="I96" s="30">
        <f t="shared" si="11"/>
        <v>25216</v>
      </c>
    </row>
    <row r="97" spans="1:9" hidden="1">
      <c r="A97" s="28" t="s">
        <v>63</v>
      </c>
      <c r="B97" s="30">
        <f>0.4+0.3</f>
        <v>0.7</v>
      </c>
      <c r="C97" s="42">
        <v>0</v>
      </c>
      <c r="D97" s="30">
        <f>70+2365.7</f>
        <v>2435.6999999999998</v>
      </c>
      <c r="E97" s="30">
        <f>2228.1+196.3</f>
        <v>2424.4</v>
      </c>
      <c r="F97" s="30">
        <f>560.4+4482</f>
        <v>5042.3999999999996</v>
      </c>
      <c r="G97" s="42">
        <f>4723.8+132+7831.1+208.9</f>
        <v>12895.800000000001</v>
      </c>
      <c r="H97" s="30">
        <f>856.8+854.4</f>
        <v>1711.1999999999998</v>
      </c>
      <c r="I97" s="30">
        <f>SUM(B97:H97)</f>
        <v>24510.2</v>
      </c>
    </row>
    <row r="98" spans="1:9" hidden="1">
      <c r="A98" s="28" t="s">
        <v>64</v>
      </c>
      <c r="B98" s="30" t="s">
        <v>35</v>
      </c>
      <c r="C98" s="30" t="s">
        <v>35</v>
      </c>
      <c r="D98" s="30">
        <f>170+2818.5</f>
        <v>2988.5</v>
      </c>
      <c r="E98" s="30">
        <f>1979.4+196.4</f>
        <v>2175.8000000000002</v>
      </c>
      <c r="F98" s="30">
        <f>553.6+2448</f>
        <v>3001.6</v>
      </c>
      <c r="G98" s="42">
        <f>4672.5+333.1+7442.6+463.6</f>
        <v>12911.800000000001</v>
      </c>
      <c r="H98" s="30">
        <f>590.2+694.8</f>
        <v>1285</v>
      </c>
      <c r="I98" s="30">
        <f t="shared" si="11"/>
        <v>22362.7</v>
      </c>
    </row>
    <row r="99" spans="1:9" hidden="1">
      <c r="A99" s="28" t="s">
        <v>65</v>
      </c>
      <c r="B99" s="30" t="s">
        <v>35</v>
      </c>
      <c r="C99" s="30" t="s">
        <v>35</v>
      </c>
      <c r="D99" s="30">
        <f>328+2859.9</f>
        <v>3187.9</v>
      </c>
      <c r="E99" s="30">
        <f>1665.3+196.2</f>
        <v>1861.5</v>
      </c>
      <c r="F99" s="30">
        <f>395.6+2448</f>
        <v>2843.6</v>
      </c>
      <c r="G99" s="42">
        <f>4690.3+391+7398.5+534.8</f>
        <v>13014.599999999999</v>
      </c>
      <c r="H99" s="30">
        <f>709.2+1126.4</f>
        <v>1835.6000000000001</v>
      </c>
      <c r="I99" s="30">
        <f t="shared" ref="I99:I104" si="12">SUM(B99:H99)</f>
        <v>22743.199999999997</v>
      </c>
    </row>
    <row r="100" spans="1:9" hidden="1">
      <c r="A100" s="28" t="s">
        <v>66</v>
      </c>
      <c r="B100" s="30" t="s">
        <v>35</v>
      </c>
      <c r="C100" s="30" t="s">
        <v>35</v>
      </c>
      <c r="D100" s="30">
        <f>428+2774.2</f>
        <v>3202.2</v>
      </c>
      <c r="E100" s="30">
        <f>1638.6+196.2</f>
        <v>1834.8</v>
      </c>
      <c r="F100" s="30">
        <f>395.6+2448</f>
        <v>2843.6</v>
      </c>
      <c r="G100" s="42">
        <f>4690.9+426.3+7401+616.2</f>
        <v>13134.400000000001</v>
      </c>
      <c r="H100" s="30">
        <f>808.4+1143.3</f>
        <v>1951.6999999999998</v>
      </c>
      <c r="I100" s="30">
        <f t="shared" si="12"/>
        <v>22966.7</v>
      </c>
    </row>
    <row r="101" spans="1:9" hidden="1">
      <c r="A101" s="28" t="s">
        <v>67</v>
      </c>
      <c r="B101" s="30" t="s">
        <v>35</v>
      </c>
      <c r="C101" s="30" t="s">
        <v>35</v>
      </c>
      <c r="D101" s="30">
        <f>428+2694.7</f>
        <v>3122.7</v>
      </c>
      <c r="E101" s="30">
        <f>1654+196.6</f>
        <v>1850.6</v>
      </c>
      <c r="F101" s="30">
        <f>395.6+2745.4</f>
        <v>3141</v>
      </c>
      <c r="G101" s="42">
        <f>4669.8+499.4+7363.9+714.3</f>
        <v>13247.399999999998</v>
      </c>
      <c r="H101" s="30">
        <f>802.6+785.1</f>
        <v>1587.7</v>
      </c>
      <c r="I101" s="30">
        <f t="shared" si="12"/>
        <v>22949.399999999998</v>
      </c>
    </row>
    <row r="102" spans="1:9" hidden="1">
      <c r="A102" s="28" t="s">
        <v>68</v>
      </c>
      <c r="B102" s="30" t="s">
        <v>35</v>
      </c>
      <c r="C102" s="30" t="s">
        <v>35</v>
      </c>
      <c r="D102" s="30">
        <f>433.9+2583.5</f>
        <v>3017.4</v>
      </c>
      <c r="E102" s="30">
        <f>1705+196.2</f>
        <v>1901.2</v>
      </c>
      <c r="F102" s="30">
        <f>395.6+2745.4</f>
        <v>3141</v>
      </c>
      <c r="G102" s="42">
        <f>4669.5+543.5+7476.8+757.6</f>
        <v>13447.4</v>
      </c>
      <c r="H102" s="30">
        <f>787.5+933.2</f>
        <v>1720.7</v>
      </c>
      <c r="I102" s="30">
        <f t="shared" si="12"/>
        <v>23227.7</v>
      </c>
    </row>
    <row r="103" spans="1:9" hidden="1">
      <c r="A103" s="28" t="s">
        <v>69</v>
      </c>
      <c r="B103" s="30" t="s">
        <v>35</v>
      </c>
      <c r="C103" s="30" t="s">
        <v>35</v>
      </c>
      <c r="D103" s="30">
        <f>434.9+2609</f>
        <v>3043.9</v>
      </c>
      <c r="E103" s="30">
        <f>1780.1+195.9</f>
        <v>1976</v>
      </c>
      <c r="F103" s="30">
        <f>395.6+2459.9</f>
        <v>2855.5</v>
      </c>
      <c r="G103" s="42">
        <f>4683.6+589.1+7461.5+809.3</f>
        <v>13543.5</v>
      </c>
      <c r="H103" s="30">
        <f>837.6+1584.8</f>
        <v>2422.4</v>
      </c>
      <c r="I103" s="30">
        <f t="shared" si="12"/>
        <v>23841.300000000003</v>
      </c>
    </row>
    <row r="104" spans="1:9" hidden="1">
      <c r="A104" s="28" t="s">
        <v>80</v>
      </c>
      <c r="B104" s="30" t="s">
        <v>35</v>
      </c>
      <c r="C104" s="30" t="s">
        <v>35</v>
      </c>
      <c r="D104" s="30">
        <f>757.1+2626.8</f>
        <v>3383.9</v>
      </c>
      <c r="E104" s="30">
        <f>1512.5+255</f>
        <v>1767.5</v>
      </c>
      <c r="F104" s="30">
        <f>395.6+2358.9</f>
        <v>2754.5</v>
      </c>
      <c r="G104" s="42">
        <f>4680.3+577.4+7462.3+780.7</f>
        <v>13500.7</v>
      </c>
      <c r="H104" s="30">
        <f>740.8+1156.7</f>
        <v>1897.5</v>
      </c>
      <c r="I104" s="30">
        <f t="shared" si="12"/>
        <v>23304.1</v>
      </c>
    </row>
    <row r="105" spans="1:9" hidden="1">
      <c r="A105" s="28"/>
      <c r="B105" s="30"/>
      <c r="C105" s="30"/>
      <c r="D105" s="30"/>
      <c r="E105" s="30"/>
      <c r="F105" s="30"/>
      <c r="G105" s="42"/>
      <c r="H105" s="30"/>
      <c r="I105" s="30"/>
    </row>
    <row r="106" spans="1:9" hidden="1">
      <c r="A106" s="28"/>
      <c r="B106" s="30"/>
      <c r="C106" s="30"/>
      <c r="D106" s="30"/>
      <c r="E106" s="30"/>
      <c r="F106" s="30"/>
      <c r="G106" s="42"/>
      <c r="H106" s="30"/>
      <c r="I106" s="30"/>
    </row>
    <row r="107" spans="1:9" hidden="1">
      <c r="A107" s="28" t="s">
        <v>48</v>
      </c>
      <c r="B107" s="30" t="s">
        <v>35</v>
      </c>
      <c r="C107" s="30" t="s">
        <v>35</v>
      </c>
      <c r="D107" s="30">
        <f>407.1+2648.5</f>
        <v>3055.6</v>
      </c>
      <c r="E107" s="30">
        <f>1554.1+707.5</f>
        <v>2261.6</v>
      </c>
      <c r="F107" s="30">
        <f>395.6+2358.9</f>
        <v>2754.5</v>
      </c>
      <c r="G107" s="42">
        <f>4715+562.4+7012.2+818.4</f>
        <v>13107.999999999998</v>
      </c>
      <c r="H107" s="30">
        <f>790.9+925.5</f>
        <v>1716.4</v>
      </c>
      <c r="I107" s="30">
        <f t="shared" ref="I107:I112" si="13">SUM(B107:H107)</f>
        <v>22896.1</v>
      </c>
    </row>
    <row r="108" spans="1:9" hidden="1">
      <c r="A108" s="28" t="s">
        <v>71</v>
      </c>
      <c r="B108" s="30" t="s">
        <v>35</v>
      </c>
      <c r="C108" s="30" t="s">
        <v>35</v>
      </c>
      <c r="D108" s="30">
        <f>907.1+2674.4</f>
        <v>3581.5</v>
      </c>
      <c r="E108" s="30">
        <f>1574+704.5</f>
        <v>2278.5</v>
      </c>
      <c r="F108" s="30">
        <f>395.6+2358.9</f>
        <v>2754.5</v>
      </c>
      <c r="G108" s="42">
        <f>4757.4+598.5+7009.1+863.5</f>
        <v>13228.5</v>
      </c>
      <c r="H108" s="30">
        <f>773.4+882.7</f>
        <v>1656.1</v>
      </c>
      <c r="I108" s="30">
        <f t="shared" si="13"/>
        <v>23499.1</v>
      </c>
    </row>
    <row r="109" spans="1:9" hidden="1">
      <c r="A109" s="28" t="s">
        <v>50</v>
      </c>
      <c r="B109" s="30" t="s">
        <v>35</v>
      </c>
      <c r="C109" s="30" t="s">
        <v>35</v>
      </c>
      <c r="D109" s="30">
        <f>907.1+2700</f>
        <v>3607.1</v>
      </c>
      <c r="E109" s="30">
        <f>1589.1+704.7</f>
        <v>2293.8000000000002</v>
      </c>
      <c r="F109" s="30">
        <f>395.6+2437.8</f>
        <v>2833.4</v>
      </c>
      <c r="G109" s="42">
        <f>5025.3+100.3+7014.1+916.1</f>
        <v>13055.800000000001</v>
      </c>
      <c r="H109" s="30">
        <f>950.7+983.4</f>
        <v>1934.1</v>
      </c>
      <c r="I109" s="30">
        <f t="shared" si="13"/>
        <v>23724.199999999997</v>
      </c>
    </row>
    <row r="110" spans="1:9" hidden="1">
      <c r="A110" s="28" t="s">
        <v>73</v>
      </c>
      <c r="B110" s="30" t="s">
        <v>35</v>
      </c>
      <c r="C110" s="30" t="s">
        <v>35</v>
      </c>
      <c r="D110" s="30">
        <f>907.2+2678.2</f>
        <v>3585.3999999999996</v>
      </c>
      <c r="E110" s="30">
        <f>1668.1+704.6</f>
        <v>2372.6999999999998</v>
      </c>
      <c r="F110" s="30">
        <f>395.6+2437.8</f>
        <v>2833.4</v>
      </c>
      <c r="G110" s="42">
        <f>5060.7+159.8+7803+80.4</f>
        <v>13103.9</v>
      </c>
      <c r="H110" s="30">
        <f>921.4+1000.4</f>
        <v>1921.8</v>
      </c>
      <c r="I110" s="30">
        <f t="shared" si="13"/>
        <v>23817.200000000001</v>
      </c>
    </row>
    <row r="111" spans="1:9" hidden="1">
      <c r="A111" s="28" t="s">
        <v>74</v>
      </c>
      <c r="B111" s="30">
        <v>300</v>
      </c>
      <c r="C111" s="30" t="s">
        <v>35</v>
      </c>
      <c r="D111" s="30">
        <f>707.2+2691.2</f>
        <v>3398.3999999999996</v>
      </c>
      <c r="E111" s="30">
        <f>1692.9+703.8</f>
        <v>2396.6999999999998</v>
      </c>
      <c r="F111" s="30">
        <f>395.6+2507.4</f>
        <v>2903</v>
      </c>
      <c r="G111" s="42">
        <f>5051.4+212.7+7832.6+91.8</f>
        <v>13188.5</v>
      </c>
      <c r="H111" s="30">
        <f>830.4+1024</f>
        <v>1854.4</v>
      </c>
      <c r="I111" s="30">
        <f t="shared" si="13"/>
        <v>24041</v>
      </c>
    </row>
    <row r="112" spans="1:9" hidden="1">
      <c r="A112" s="28" t="s">
        <v>75</v>
      </c>
      <c r="B112" s="30" t="s">
        <v>35</v>
      </c>
      <c r="C112" s="30" t="s">
        <v>35</v>
      </c>
      <c r="D112" s="30">
        <f>1207.2+2747.8</f>
        <v>3955</v>
      </c>
      <c r="E112" s="30">
        <f>1808.1+703.9</f>
        <v>2512</v>
      </c>
      <c r="F112" s="30">
        <f>395.6+2507.4</f>
        <v>2903</v>
      </c>
      <c r="G112" s="42">
        <f>5064.2+220+7863.2+128.8</f>
        <v>13276.199999999999</v>
      </c>
      <c r="H112" s="30">
        <f>888+1113</f>
        <v>2001</v>
      </c>
      <c r="I112" s="30">
        <f t="shared" si="13"/>
        <v>24647.199999999997</v>
      </c>
    </row>
    <row r="113" spans="1:9" hidden="1">
      <c r="A113" s="28" t="s">
        <v>76</v>
      </c>
      <c r="B113" s="30" t="s">
        <v>35</v>
      </c>
      <c r="C113" s="30" t="s">
        <v>35</v>
      </c>
      <c r="D113" s="30">
        <f>1307.2+2785.7</f>
        <v>4092.8999999999996</v>
      </c>
      <c r="E113" s="30">
        <f>1949.4+705.4</f>
        <v>2654.8</v>
      </c>
      <c r="F113" s="30">
        <f>395.6+2507.4</f>
        <v>2903</v>
      </c>
      <c r="G113" s="42">
        <f>5086+245.3+7873+195.3</f>
        <v>13399.599999999999</v>
      </c>
      <c r="H113" s="30">
        <f>926.3+1379.9</f>
        <v>2306.1999999999998</v>
      </c>
      <c r="I113" s="30">
        <f t="shared" ref="I113:I118" si="14">SUM(B113:H113)</f>
        <v>25356.5</v>
      </c>
    </row>
    <row r="114" spans="1:9" hidden="1">
      <c r="A114" s="28" t="s">
        <v>77</v>
      </c>
      <c r="B114" s="30" t="s">
        <v>35</v>
      </c>
      <c r="C114" s="30" t="s">
        <v>35</v>
      </c>
      <c r="D114" s="30">
        <f>1007.2+2798.8</f>
        <v>3806</v>
      </c>
      <c r="E114" s="30">
        <f>1963.9+703.2</f>
        <v>2667.1000000000004</v>
      </c>
      <c r="F114" s="30">
        <f>395.6+2507.4</f>
        <v>2903</v>
      </c>
      <c r="G114" s="42">
        <f>5082.8+280.6+7939.7+217</f>
        <v>13520.1</v>
      </c>
      <c r="H114" s="30">
        <f>942.8+1302.5</f>
        <v>2245.3000000000002</v>
      </c>
      <c r="I114" s="30">
        <f t="shared" si="14"/>
        <v>25141.5</v>
      </c>
    </row>
    <row r="115" spans="1:9" hidden="1">
      <c r="A115" s="28" t="s">
        <v>78</v>
      </c>
      <c r="B115" s="30" t="s">
        <v>35</v>
      </c>
      <c r="C115" s="30" t="s">
        <v>35</v>
      </c>
      <c r="D115" s="30">
        <f>982.2+2840.8</f>
        <v>3823</v>
      </c>
      <c r="E115" s="30">
        <f>2587.1+703.8</f>
        <v>3290.8999999999996</v>
      </c>
      <c r="F115" s="30">
        <f>395.6+2600.2</f>
        <v>2995.7999999999997</v>
      </c>
      <c r="G115" s="42">
        <f>5090.4+334.5+7929.4+289.4</f>
        <v>13643.699999999999</v>
      </c>
      <c r="H115" s="30">
        <f>924.7+1179.3</f>
        <v>2104</v>
      </c>
      <c r="I115" s="30">
        <f t="shared" si="14"/>
        <v>25857.399999999998</v>
      </c>
    </row>
    <row r="116" spans="1:9" hidden="1">
      <c r="A116" s="28" t="s">
        <v>79</v>
      </c>
      <c r="B116" s="30" t="s">
        <v>35</v>
      </c>
      <c r="C116" s="30" t="s">
        <v>35</v>
      </c>
      <c r="D116" s="30">
        <f>1282.2+2892.5</f>
        <v>4174.7</v>
      </c>
      <c r="E116" s="30">
        <f>2470.2+703.4</f>
        <v>3173.6</v>
      </c>
      <c r="F116" s="30">
        <f>395.6+2600.2</f>
        <v>2995.7999999999997</v>
      </c>
      <c r="G116" s="42">
        <f>5086.6+396.7+7922.7+381.9</f>
        <v>13787.9</v>
      </c>
      <c r="H116" s="30">
        <f>918.7+1164.1</f>
        <v>2082.8000000000002</v>
      </c>
      <c r="I116" s="30">
        <f t="shared" si="14"/>
        <v>26214.799999999999</v>
      </c>
    </row>
    <row r="117" spans="1:9" hidden="1">
      <c r="A117" s="28" t="s">
        <v>81</v>
      </c>
      <c r="B117" s="30" t="s">
        <v>35</v>
      </c>
      <c r="C117" s="30" t="s">
        <v>35</v>
      </c>
      <c r="D117" s="30">
        <f>1532.2+2950</f>
        <v>4482.2</v>
      </c>
      <c r="E117" s="30">
        <f>2715.4+703.7</f>
        <v>3419.1000000000004</v>
      </c>
      <c r="F117" s="30">
        <f>395.6+2600.2</f>
        <v>2995.7999999999997</v>
      </c>
      <c r="G117" s="42">
        <f>4991.9+553.6+7890.1+484.1</f>
        <v>13919.7</v>
      </c>
      <c r="H117" s="30">
        <f>1046.7+1115.3</f>
        <v>2162</v>
      </c>
      <c r="I117" s="30">
        <f t="shared" si="14"/>
        <v>26978.800000000003</v>
      </c>
    </row>
    <row r="118" spans="1:9" hidden="1">
      <c r="A118" s="28" t="s">
        <v>82</v>
      </c>
      <c r="B118" s="30" t="s">
        <v>35</v>
      </c>
      <c r="C118" s="30" t="s">
        <v>35</v>
      </c>
      <c r="D118" s="30">
        <f>1347.8+2926.4</f>
        <v>4274.2</v>
      </c>
      <c r="E118" s="30">
        <f>2772.5+727.6</f>
        <v>3500.1</v>
      </c>
      <c r="F118" s="30">
        <f>388.7+2667.3</f>
        <v>3056</v>
      </c>
      <c r="G118" s="42">
        <f>4950.3+566.4+7951.2+352</f>
        <v>13819.9</v>
      </c>
      <c r="H118" s="30">
        <f>994.2+1271</f>
        <v>2265.1999999999998</v>
      </c>
      <c r="I118" s="30">
        <f t="shared" si="14"/>
        <v>26915.399999999998</v>
      </c>
    </row>
    <row r="119" spans="1:9" hidden="1">
      <c r="A119" s="28"/>
      <c r="B119" s="30"/>
      <c r="C119" s="30"/>
      <c r="D119" s="30"/>
      <c r="E119" s="30"/>
      <c r="F119" s="30"/>
      <c r="G119" s="42"/>
      <c r="H119" s="30"/>
      <c r="I119" s="30"/>
    </row>
    <row r="120" spans="1:9" hidden="1">
      <c r="A120" s="28" t="s">
        <v>96</v>
      </c>
      <c r="B120" s="30">
        <v>114.3</v>
      </c>
      <c r="C120" s="30" t="s">
        <v>35</v>
      </c>
      <c r="D120" s="30">
        <f>2999.9+8843.5</f>
        <v>11843.4</v>
      </c>
      <c r="E120" s="30">
        <f>9018+777.9</f>
        <v>9795.9</v>
      </c>
      <c r="F120" s="30">
        <f>367.7+1302.9</f>
        <v>1670.6000000000001</v>
      </c>
      <c r="G120" s="42">
        <f>7903+194.2+10210.4-147.7</f>
        <v>18159.899999999998</v>
      </c>
      <c r="H120" s="30">
        <f>1395.5+1793.9</f>
        <v>3189.4</v>
      </c>
      <c r="I120" s="30">
        <f>SUM(B120:H120)</f>
        <v>44773.499999999993</v>
      </c>
    </row>
    <row r="121" spans="1:9" hidden="1">
      <c r="A121" s="28" t="s">
        <v>60</v>
      </c>
      <c r="B121" s="30">
        <v>350</v>
      </c>
      <c r="C121" s="30" t="s">
        <v>35</v>
      </c>
      <c r="D121" s="30">
        <v>4368.1000000000004</v>
      </c>
      <c r="E121" s="30">
        <v>3958.4</v>
      </c>
      <c r="F121" s="30">
        <f>388.7+2667.3</f>
        <v>3056</v>
      </c>
      <c r="G121" s="42">
        <v>13923.2</v>
      </c>
      <c r="H121" s="30">
        <v>2022.1</v>
      </c>
      <c r="I121" s="30">
        <f t="shared" ref="I121:I126" si="15">SUM(B121:H121)</f>
        <v>27677.8</v>
      </c>
    </row>
    <row r="122" spans="1:9" hidden="1">
      <c r="A122" s="28" t="s">
        <v>84</v>
      </c>
      <c r="B122" s="30">
        <v>1350</v>
      </c>
      <c r="C122" s="30" t="s">
        <v>35</v>
      </c>
      <c r="D122" s="30">
        <f>1118.1+3467.6</f>
        <v>4585.7</v>
      </c>
      <c r="E122" s="30">
        <f>2996.1+727.2</f>
        <v>3723.3</v>
      </c>
      <c r="F122" s="30">
        <f>388.7+2667.3</f>
        <v>3056</v>
      </c>
      <c r="G122" s="42">
        <f>5003.7+618.3+7954.3+450.8</f>
        <v>14027.099999999999</v>
      </c>
      <c r="H122" s="30">
        <f>878.9+1348.8</f>
        <v>2227.6999999999998</v>
      </c>
      <c r="I122" s="30">
        <f t="shared" si="15"/>
        <v>28969.8</v>
      </c>
    </row>
    <row r="123" spans="1:9" hidden="1">
      <c r="A123" s="28" t="s">
        <v>62</v>
      </c>
      <c r="B123" s="30">
        <v>400</v>
      </c>
      <c r="C123" s="30" t="s">
        <v>35</v>
      </c>
      <c r="D123" s="30">
        <f>1118.1+4318.6</f>
        <v>5436.7000000000007</v>
      </c>
      <c r="E123" s="30">
        <f>3291+1027.1</f>
        <v>4318.1000000000004</v>
      </c>
      <c r="F123" s="30">
        <f>388.7+2807.8</f>
        <v>3196.5</v>
      </c>
      <c r="G123" s="42">
        <f>5419.5+160.4+7932.3+543.1</f>
        <v>14055.300000000001</v>
      </c>
      <c r="H123" s="30">
        <f>721+1188.5</f>
        <v>1909.5</v>
      </c>
      <c r="I123" s="30">
        <f t="shared" si="15"/>
        <v>29316.100000000002</v>
      </c>
    </row>
    <row r="124" spans="1:9" hidden="1">
      <c r="A124" s="28" t="s">
        <v>86</v>
      </c>
      <c r="B124" s="30">
        <v>300</v>
      </c>
      <c r="C124" s="30" t="s">
        <v>35</v>
      </c>
      <c r="D124" s="30">
        <f>1118.1+4453.4</f>
        <v>5571.5</v>
      </c>
      <c r="E124" s="30">
        <f>3224.4+1026.6</f>
        <v>4251</v>
      </c>
      <c r="F124" s="30">
        <f>388.7+2807.8</f>
        <v>3196.5</v>
      </c>
      <c r="G124" s="42">
        <f>5434.9+209.1+8371.4+199.4</f>
        <v>14214.8</v>
      </c>
      <c r="H124" s="30">
        <f>796.7+1189.8</f>
        <v>1986.5</v>
      </c>
      <c r="I124" s="30">
        <f t="shared" si="15"/>
        <v>29520.3</v>
      </c>
    </row>
    <row r="125" spans="1:9" hidden="1">
      <c r="A125" s="28" t="s">
        <v>87</v>
      </c>
      <c r="B125" s="30" t="s">
        <v>35</v>
      </c>
      <c r="C125" s="30" t="s">
        <v>35</v>
      </c>
      <c r="D125" s="30">
        <v>6010</v>
      </c>
      <c r="E125" s="30">
        <v>4512</v>
      </c>
      <c r="F125" s="30">
        <f>388.7+2807.8</f>
        <v>3196.5</v>
      </c>
      <c r="G125" s="42">
        <v>14281.8</v>
      </c>
      <c r="H125" s="30">
        <v>2297.3000000000002</v>
      </c>
      <c r="I125" s="30">
        <f t="shared" si="15"/>
        <v>30297.599999999999</v>
      </c>
    </row>
    <row r="126" spans="1:9" ht="1.5" hidden="1" customHeight="1">
      <c r="A126" s="28" t="s">
        <v>88</v>
      </c>
      <c r="B126" s="30">
        <v>400</v>
      </c>
      <c r="C126" s="30" t="s">
        <v>35</v>
      </c>
      <c r="D126" s="30">
        <f>842.1+5118.9</f>
        <v>5961</v>
      </c>
      <c r="E126" s="30">
        <f>3550.9+1146.3</f>
        <v>4697.2</v>
      </c>
      <c r="F126" s="30">
        <f>388.7+2960.6</f>
        <v>3349.2999999999997</v>
      </c>
      <c r="G126" s="42">
        <f>5478.4+292.7+8477.5+228</f>
        <v>14476.599999999999</v>
      </c>
      <c r="H126" s="30">
        <f>839.4+1421.7</f>
        <v>2261.1</v>
      </c>
      <c r="I126" s="30">
        <f t="shared" si="15"/>
        <v>31145.199999999997</v>
      </c>
    </row>
    <row r="127" spans="1:9" hidden="1">
      <c r="A127" s="28" t="s">
        <v>89</v>
      </c>
      <c r="B127" s="30">
        <v>0</v>
      </c>
      <c r="C127" s="30" t="s">
        <v>35</v>
      </c>
      <c r="D127" s="30">
        <f>842.2+5784.4</f>
        <v>6626.5999999999995</v>
      </c>
      <c r="E127" s="30">
        <f>3658.7+1149.1</f>
        <v>4807.7999999999993</v>
      </c>
      <c r="F127" s="30">
        <f>388.7+2960.6</f>
        <v>3349.2999999999997</v>
      </c>
      <c r="G127" s="42">
        <f>5494.9+333.5+8498.4+286.1</f>
        <v>14612.9</v>
      </c>
      <c r="H127" s="30">
        <f>844.8+1301.5</f>
        <v>2146.3000000000002</v>
      </c>
      <c r="I127" s="30">
        <f t="shared" ref="I127:I132" si="16">SUM(B127:H127)</f>
        <v>31542.899999999998</v>
      </c>
    </row>
    <row r="128" spans="1:9" hidden="1">
      <c r="A128" s="28" t="s">
        <v>31</v>
      </c>
      <c r="B128" s="30">
        <v>0</v>
      </c>
      <c r="C128" s="30" t="s">
        <v>35</v>
      </c>
      <c r="D128" s="30">
        <f>842.2+6219.8</f>
        <v>7062</v>
      </c>
      <c r="E128" s="30">
        <f>3707.3+1172</f>
        <v>4879.3</v>
      </c>
      <c r="F128" s="30">
        <f>388.7+2960.6</f>
        <v>3349.2999999999997</v>
      </c>
      <c r="G128" s="42">
        <f>5494.9+393.9+8537.5+313.3</f>
        <v>14739.599999999999</v>
      </c>
      <c r="H128" s="30">
        <f>917+1441.1</f>
        <v>2358.1</v>
      </c>
      <c r="I128" s="30">
        <f t="shared" si="16"/>
        <v>32388.299999999996</v>
      </c>
    </row>
    <row r="129" spans="1:11" hidden="1">
      <c r="A129" s="28" t="s">
        <v>90</v>
      </c>
      <c r="B129" s="30">
        <v>50.6</v>
      </c>
      <c r="C129" s="30" t="s">
        <v>35</v>
      </c>
      <c r="D129" s="30">
        <f>841.4+6252.6</f>
        <v>7094</v>
      </c>
      <c r="E129" s="30">
        <f>3816+1150.2</f>
        <v>4966.2</v>
      </c>
      <c r="F129" s="30">
        <f>388.7+3180</f>
        <v>3568.7</v>
      </c>
      <c r="G129" s="42">
        <f>5487.3+456.5+8498.2+410.1</f>
        <v>14852.1</v>
      </c>
      <c r="H129" s="30">
        <f>903+1374.2</f>
        <v>2277.1999999999998</v>
      </c>
      <c r="I129" s="30">
        <f t="shared" si="16"/>
        <v>32808.799999999996</v>
      </c>
    </row>
    <row r="130" spans="1:11" hidden="1">
      <c r="A130" s="28" t="s">
        <v>91</v>
      </c>
      <c r="B130" s="30" t="s">
        <v>35</v>
      </c>
      <c r="C130" s="30" t="s">
        <v>35</v>
      </c>
      <c r="D130" s="30">
        <f>861.8+6389.1</f>
        <v>7250.9000000000005</v>
      </c>
      <c r="E130" s="30">
        <f>3887+1149.1</f>
        <v>5036.1000000000004</v>
      </c>
      <c r="F130" s="30">
        <f>388.7+3180</f>
        <v>3568.7</v>
      </c>
      <c r="G130" s="42">
        <f>5413.9+537.1+8498+459.8</f>
        <v>14908.8</v>
      </c>
      <c r="H130" s="30">
        <f>960+1338.9</f>
        <v>2298.9</v>
      </c>
      <c r="I130" s="30">
        <f t="shared" si="16"/>
        <v>33063.4</v>
      </c>
    </row>
    <row r="131" spans="1:11" hidden="1">
      <c r="A131" s="28" t="s">
        <v>92</v>
      </c>
      <c r="B131" s="30" t="s">
        <v>35</v>
      </c>
      <c r="C131" s="30" t="s">
        <v>35</v>
      </c>
      <c r="D131" s="30">
        <f>861.8+5995.4</f>
        <v>6857.2</v>
      </c>
      <c r="E131" s="30">
        <f>4428.8+1150.1</f>
        <v>5578.9</v>
      </c>
      <c r="F131" s="30">
        <f>388.7+3180</f>
        <v>3568.7</v>
      </c>
      <c r="G131" s="42">
        <f>5420.9+592.8+8512.8+514</f>
        <v>15040.5</v>
      </c>
      <c r="H131" s="30">
        <f>1018.9+1354.1</f>
        <v>2373</v>
      </c>
      <c r="I131" s="30">
        <f t="shared" si="16"/>
        <v>33418.300000000003</v>
      </c>
    </row>
    <row r="132" spans="1:11" ht="15.75" hidden="1">
      <c r="A132" s="28" t="s">
        <v>93</v>
      </c>
      <c r="B132" s="30" t="s">
        <v>35</v>
      </c>
      <c r="C132" s="30" t="s">
        <v>35</v>
      </c>
      <c r="D132" s="30">
        <f>861.8+6099.7</f>
        <v>6961.5</v>
      </c>
      <c r="E132" s="30">
        <f>4451.8+608.3</f>
        <v>5060.1000000000004</v>
      </c>
      <c r="F132" s="30">
        <f>381.8+3378</f>
        <v>3759.8</v>
      </c>
      <c r="G132" s="42">
        <v>13044.2</v>
      </c>
      <c r="H132" s="30">
        <v>4329.1000000000004</v>
      </c>
      <c r="I132" s="30">
        <f t="shared" si="16"/>
        <v>33154.700000000004</v>
      </c>
      <c r="K132" s="65"/>
    </row>
    <row r="133" spans="1:11" hidden="1">
      <c r="A133" s="28"/>
      <c r="B133" s="30"/>
      <c r="C133" s="38"/>
      <c r="D133" s="30"/>
      <c r="E133" s="30"/>
      <c r="F133" s="30"/>
      <c r="G133" s="42"/>
      <c r="H133" s="30"/>
      <c r="I133" s="30"/>
    </row>
    <row r="134" spans="1:11" ht="15.75" hidden="1">
      <c r="A134" s="28" t="s">
        <v>70</v>
      </c>
      <c r="B134" s="30" t="s">
        <v>35</v>
      </c>
      <c r="C134" s="30" t="s">
        <v>35</v>
      </c>
      <c r="D134" s="30">
        <f>877.5+6007.1</f>
        <v>6884.6</v>
      </c>
      <c r="E134" s="30">
        <f>4747.9+605.4</f>
        <v>5353.2999999999993</v>
      </c>
      <c r="F134" s="30">
        <f>381.8+3378</f>
        <v>3759.8</v>
      </c>
      <c r="G134" s="42">
        <v>13185</v>
      </c>
      <c r="H134" s="30">
        <v>4061.2999999999997</v>
      </c>
      <c r="I134" s="30">
        <f t="shared" ref="I134:I139" si="17">SUM(B134:H134)</f>
        <v>33244</v>
      </c>
      <c r="K134" s="65"/>
    </row>
    <row r="135" spans="1:11" ht="15.75" hidden="1">
      <c r="A135" s="28" t="s">
        <v>95</v>
      </c>
      <c r="B135" s="30" t="s">
        <v>35</v>
      </c>
      <c r="C135" s="30" t="s">
        <v>35</v>
      </c>
      <c r="D135" s="30">
        <f>1012.8+6053.8</f>
        <v>7066.6</v>
      </c>
      <c r="E135" s="30">
        <f>4828.9+1321.5</f>
        <v>6150.4</v>
      </c>
      <c r="F135" s="30">
        <f>381.8+3378</f>
        <v>3759.8</v>
      </c>
      <c r="G135" s="42">
        <v>13343.8</v>
      </c>
      <c r="H135" s="30">
        <v>4193.8999999999996</v>
      </c>
      <c r="I135" s="30">
        <f t="shared" si="17"/>
        <v>34514.5</v>
      </c>
      <c r="K135" s="65"/>
    </row>
    <row r="136" spans="1:11" ht="15.75" hidden="1">
      <c r="A136" s="28" t="s">
        <v>72</v>
      </c>
      <c r="B136" s="30" t="s">
        <v>35</v>
      </c>
      <c r="C136" s="30" t="s">
        <v>35</v>
      </c>
      <c r="D136" s="30">
        <f>903.4+6066.8</f>
        <v>6970.2</v>
      </c>
      <c r="E136" s="30">
        <f>5039.7+1470.8</f>
        <v>6510.5</v>
      </c>
      <c r="F136" s="30">
        <f>381.8+2175.6</f>
        <v>2557.4</v>
      </c>
      <c r="G136" s="42">
        <v>13271.300000000001</v>
      </c>
      <c r="H136" s="30">
        <v>4337.1000000000004</v>
      </c>
      <c r="I136" s="30">
        <f t="shared" si="17"/>
        <v>33646.5</v>
      </c>
      <c r="K136" s="65"/>
    </row>
    <row r="137" spans="1:11" ht="15.75" hidden="1">
      <c r="A137" s="28" t="s">
        <v>97</v>
      </c>
      <c r="B137" s="30" t="s">
        <v>35</v>
      </c>
      <c r="C137" s="30" t="s">
        <v>35</v>
      </c>
      <c r="D137" s="30">
        <f>1049.8+6458.1</f>
        <v>7507.9000000000005</v>
      </c>
      <c r="E137" s="30">
        <f>5112.2+1142.7</f>
        <v>6254.9</v>
      </c>
      <c r="F137" s="30">
        <f>381.8+2175.6</f>
        <v>2557.4</v>
      </c>
      <c r="G137" s="42">
        <v>13271.700000000003</v>
      </c>
      <c r="H137" s="30">
        <v>4328.2</v>
      </c>
      <c r="I137" s="30">
        <f t="shared" si="17"/>
        <v>33920.1</v>
      </c>
      <c r="K137" s="65"/>
    </row>
    <row r="138" spans="1:11" ht="15.75" hidden="1">
      <c r="A138" s="28" t="s">
        <v>98</v>
      </c>
      <c r="B138" s="30" t="s">
        <v>35</v>
      </c>
      <c r="C138" s="30" t="s">
        <v>35</v>
      </c>
      <c r="D138" s="30">
        <f>1053.9+6468.5</f>
        <v>7522.4</v>
      </c>
      <c r="E138" s="30">
        <f>5126.6+1112.7</f>
        <v>6239.3</v>
      </c>
      <c r="F138" s="30">
        <f>381.8+2175.6</f>
        <v>2557.4</v>
      </c>
      <c r="G138" s="42">
        <v>13395.8</v>
      </c>
      <c r="H138" s="30">
        <v>4393.5</v>
      </c>
      <c r="I138" s="30">
        <f t="shared" si="17"/>
        <v>34108.400000000001</v>
      </c>
      <c r="K138" s="65"/>
    </row>
    <row r="139" spans="1:11" ht="15.75" hidden="1">
      <c r="A139" s="28" t="s">
        <v>99</v>
      </c>
      <c r="B139" s="30" t="s">
        <v>35</v>
      </c>
      <c r="C139" s="30" t="s">
        <v>35</v>
      </c>
      <c r="D139" s="30">
        <v>7739.8</v>
      </c>
      <c r="E139" s="30">
        <v>6537.9</v>
      </c>
      <c r="F139" s="30">
        <v>2576.5</v>
      </c>
      <c r="G139" s="42">
        <v>13806</v>
      </c>
      <c r="H139" s="30">
        <v>4641.6000000000004</v>
      </c>
      <c r="I139" s="30">
        <f t="shared" si="17"/>
        <v>35301.800000000003</v>
      </c>
      <c r="K139" s="65"/>
    </row>
    <row r="140" spans="1:11" ht="15.75" hidden="1">
      <c r="A140" s="28" t="s">
        <v>100</v>
      </c>
      <c r="B140" s="30" t="s">
        <v>35</v>
      </c>
      <c r="C140" s="30" t="s">
        <v>35</v>
      </c>
      <c r="D140" s="30">
        <f>1154.2+6860.5</f>
        <v>8014.7</v>
      </c>
      <c r="E140" s="30">
        <f>5678.8+1050.6</f>
        <v>6729.4</v>
      </c>
      <c r="F140" s="30">
        <f>381.8+2194.7</f>
        <v>2576.5</v>
      </c>
      <c r="G140" s="42">
        <v>14265.1</v>
      </c>
      <c r="H140" s="30">
        <v>4350.7</v>
      </c>
      <c r="I140" s="30">
        <f t="shared" ref="I140:I145" si="18">SUM(B140:H140)</f>
        <v>35936.399999999994</v>
      </c>
      <c r="K140" s="65"/>
    </row>
    <row r="141" spans="1:11" ht="15.75" hidden="1">
      <c r="A141" s="28" t="s">
        <v>101</v>
      </c>
      <c r="B141" s="30" t="s">
        <v>35</v>
      </c>
      <c r="C141" s="30" t="s">
        <v>35</v>
      </c>
      <c r="D141" s="30">
        <f>1148.4+6956.4</f>
        <v>8104.7999999999993</v>
      </c>
      <c r="E141" s="30">
        <f>5796.2+1048.9</f>
        <v>6845.1</v>
      </c>
      <c r="F141" s="30">
        <f>381.8+2194.7</f>
        <v>2576.5</v>
      </c>
      <c r="G141" s="42">
        <v>14432.400000000001</v>
      </c>
      <c r="H141" s="30">
        <v>4547.2999999999993</v>
      </c>
      <c r="I141" s="30">
        <f t="shared" si="18"/>
        <v>36506.100000000006</v>
      </c>
      <c r="K141" s="65"/>
    </row>
    <row r="142" spans="1:11" ht="15.75" hidden="1">
      <c r="A142" s="28" t="s">
        <v>102</v>
      </c>
      <c r="B142" s="30" t="s">
        <v>35</v>
      </c>
      <c r="C142" s="30" t="s">
        <v>35</v>
      </c>
      <c r="D142" s="30">
        <f>1082.5+7012.3</f>
        <v>8094.8</v>
      </c>
      <c r="E142" s="30">
        <f>5915.5+996.9</f>
        <v>6912.4</v>
      </c>
      <c r="F142" s="30">
        <f>381.8+2000.5</f>
        <v>2382.3000000000002</v>
      </c>
      <c r="G142" s="42">
        <v>14671.6</v>
      </c>
      <c r="H142" s="30">
        <v>4712.1000000000004</v>
      </c>
      <c r="I142" s="30">
        <f t="shared" si="18"/>
        <v>36773.199999999997</v>
      </c>
      <c r="K142" s="65"/>
    </row>
    <row r="143" spans="1:11" ht="15.75" hidden="1">
      <c r="A143" s="28" t="s">
        <v>103</v>
      </c>
      <c r="B143" s="30" t="s">
        <v>35</v>
      </c>
      <c r="C143" s="30" t="s">
        <v>35</v>
      </c>
      <c r="D143" s="30">
        <f>1182.5+7024.7</f>
        <v>8207.2000000000007</v>
      </c>
      <c r="E143" s="30">
        <f>5912.7+984.5</f>
        <v>6897.2</v>
      </c>
      <c r="F143" s="30">
        <f>381.8+1808.2</f>
        <v>2190</v>
      </c>
      <c r="G143" s="42">
        <v>14800.7</v>
      </c>
      <c r="H143" s="30">
        <v>4773.7</v>
      </c>
      <c r="I143" s="30">
        <f t="shared" si="18"/>
        <v>36868.800000000003</v>
      </c>
      <c r="K143" s="65"/>
    </row>
    <row r="144" spans="1:11" ht="15.75" hidden="1">
      <c r="A144" s="28" t="s">
        <v>104</v>
      </c>
      <c r="B144" s="30" t="s">
        <v>35</v>
      </c>
      <c r="C144" s="30" t="s">
        <v>35</v>
      </c>
      <c r="D144" s="30">
        <f>1179.2+7068.5</f>
        <v>8247.7000000000007</v>
      </c>
      <c r="E144" s="30">
        <f>5873.6+984.4</f>
        <v>6858</v>
      </c>
      <c r="F144" s="30">
        <f>381.8+1518.2</f>
        <v>1900</v>
      </c>
      <c r="G144" s="42">
        <v>14994</v>
      </c>
      <c r="H144" s="30">
        <v>4586</v>
      </c>
      <c r="I144" s="30">
        <f t="shared" si="18"/>
        <v>36585.699999999997</v>
      </c>
      <c r="K144" s="65"/>
    </row>
    <row r="145" spans="1:11" ht="15.75" hidden="1">
      <c r="A145" s="28" t="s">
        <v>105</v>
      </c>
      <c r="B145" s="30" t="s">
        <v>35</v>
      </c>
      <c r="C145" s="30" t="s">
        <v>35</v>
      </c>
      <c r="D145" s="30">
        <f>1178.8+7166.2</f>
        <v>8345</v>
      </c>
      <c r="E145" s="30">
        <f>6019.6+1179.9</f>
        <v>7199.5</v>
      </c>
      <c r="F145" s="30">
        <f>374.8+1699</f>
        <v>2073.8000000000002</v>
      </c>
      <c r="G145" s="42">
        <v>14958.399999999998</v>
      </c>
      <c r="H145" s="30">
        <v>4600.8</v>
      </c>
      <c r="I145" s="30">
        <f t="shared" si="18"/>
        <v>37177.5</v>
      </c>
      <c r="K145" s="65"/>
    </row>
    <row r="146" spans="1:11" hidden="1">
      <c r="A146" s="28"/>
      <c r="B146" s="30"/>
      <c r="C146" s="38"/>
      <c r="D146" s="30"/>
      <c r="E146" s="30"/>
      <c r="F146" s="30"/>
      <c r="G146" s="42"/>
      <c r="H146" s="30"/>
      <c r="I146" s="30"/>
    </row>
    <row r="147" spans="1:11" ht="15.75" hidden="1">
      <c r="A147" s="28" t="s">
        <v>83</v>
      </c>
      <c r="B147" s="30" t="s">
        <v>35</v>
      </c>
      <c r="C147" s="30" t="s">
        <v>35</v>
      </c>
      <c r="D147" s="30">
        <f>1194.9+7185.1</f>
        <v>8380</v>
      </c>
      <c r="E147" s="30">
        <f>6367.3+1181.3</f>
        <v>7548.6</v>
      </c>
      <c r="F147" s="30">
        <f>374.8+1699</f>
        <v>2073.8000000000002</v>
      </c>
      <c r="G147" s="42">
        <v>15040</v>
      </c>
      <c r="H147" s="30">
        <v>4298.5</v>
      </c>
      <c r="I147" s="30">
        <f t="shared" ref="I147:I152" si="19">SUM(B147:H147)</f>
        <v>37340.9</v>
      </c>
      <c r="K147" s="65"/>
    </row>
    <row r="148" spans="1:11" ht="15.75" hidden="1">
      <c r="A148" s="28" t="s">
        <v>107</v>
      </c>
      <c r="B148" s="30" t="s">
        <v>35</v>
      </c>
      <c r="C148" s="30" t="s">
        <v>35</v>
      </c>
      <c r="D148" s="30">
        <f>1193.9+7211.1</f>
        <v>8405</v>
      </c>
      <c r="E148" s="30">
        <f>6748.4+1180.4</f>
        <v>7928.7999999999993</v>
      </c>
      <c r="F148" s="30">
        <f>374.8+1699</f>
        <v>2073.8000000000002</v>
      </c>
      <c r="G148" s="42">
        <v>15173.200000000003</v>
      </c>
      <c r="H148" s="30">
        <v>4284.0999999999995</v>
      </c>
      <c r="I148" s="30">
        <f t="shared" si="19"/>
        <v>37864.9</v>
      </c>
      <c r="K148" s="65"/>
    </row>
    <row r="149" spans="1:11" ht="15.75" hidden="1">
      <c r="A149" s="28" t="s">
        <v>85</v>
      </c>
      <c r="B149" s="30" t="s">
        <v>35</v>
      </c>
      <c r="C149" s="30" t="s">
        <v>35</v>
      </c>
      <c r="D149" s="30">
        <f>1673.9+7225.5</f>
        <v>8899.4</v>
      </c>
      <c r="E149" s="30">
        <f>6489.9+1174</f>
        <v>7663.9</v>
      </c>
      <c r="F149" s="30">
        <f>374.8+1596.4</f>
        <v>1971.2</v>
      </c>
      <c r="G149" s="42">
        <v>15154.899999999998</v>
      </c>
      <c r="H149" s="30">
        <v>4362.5999999999995</v>
      </c>
      <c r="I149" s="30">
        <f t="shared" si="19"/>
        <v>38051.999999999993</v>
      </c>
      <c r="K149" s="65"/>
    </row>
    <row r="150" spans="1:11" ht="15.75" hidden="1">
      <c r="A150" s="28" t="s">
        <v>109</v>
      </c>
      <c r="B150" s="30" t="s">
        <v>35</v>
      </c>
      <c r="C150" s="30" t="s">
        <v>35</v>
      </c>
      <c r="D150" s="30">
        <f>1761.6+7244.5</f>
        <v>9006.1</v>
      </c>
      <c r="E150" s="30">
        <f>6639.5+1174.9</f>
        <v>7814.4</v>
      </c>
      <c r="F150" s="30">
        <f>374.8+1596.4</f>
        <v>1971.2</v>
      </c>
      <c r="G150" s="42">
        <v>15048.800000000001</v>
      </c>
      <c r="H150" s="30">
        <v>4435.0999999999995</v>
      </c>
      <c r="I150" s="30">
        <f t="shared" si="19"/>
        <v>38275.599999999999</v>
      </c>
      <c r="K150" s="65"/>
    </row>
    <row r="151" spans="1:11" ht="15.75" hidden="1">
      <c r="A151" s="28" t="s">
        <v>110</v>
      </c>
      <c r="B151" s="30" t="s">
        <v>35</v>
      </c>
      <c r="C151" s="30" t="s">
        <v>35</v>
      </c>
      <c r="D151" s="30">
        <f>1760+7210.7</f>
        <v>8970.7000000000007</v>
      </c>
      <c r="E151" s="30">
        <f>6937.3+1205.6</f>
        <v>8142.9</v>
      </c>
      <c r="F151" s="30">
        <f>374.8+1596.4</f>
        <v>1971.2</v>
      </c>
      <c r="G151" s="42">
        <v>15202.999999999998</v>
      </c>
      <c r="H151" s="30">
        <v>4725</v>
      </c>
      <c r="I151" s="30">
        <f t="shared" si="19"/>
        <v>39012.799999999996</v>
      </c>
      <c r="K151" s="65"/>
    </row>
    <row r="152" spans="1:11" ht="15.75" hidden="1">
      <c r="A152" s="28" t="s">
        <v>112</v>
      </c>
      <c r="B152" s="30" t="s">
        <v>35</v>
      </c>
      <c r="C152" s="30" t="s">
        <v>35</v>
      </c>
      <c r="D152" s="30">
        <f>1773.9+8336.5</f>
        <v>10110.4</v>
      </c>
      <c r="E152" s="30">
        <f>7021.9+1205.3</f>
        <v>8227.1999999999989</v>
      </c>
      <c r="F152" s="30">
        <f>374.8+1372</f>
        <v>1746.8</v>
      </c>
      <c r="G152" s="42">
        <v>15396.600000000002</v>
      </c>
      <c r="H152" s="30">
        <v>4685.3</v>
      </c>
      <c r="I152" s="30">
        <f t="shared" si="19"/>
        <v>40166.300000000003</v>
      </c>
      <c r="K152" s="65"/>
    </row>
    <row r="153" spans="1:11" ht="15.75" hidden="1">
      <c r="A153" s="28" t="s">
        <v>113</v>
      </c>
      <c r="B153" s="30" t="s">
        <v>35</v>
      </c>
      <c r="C153" s="30" t="s">
        <v>35</v>
      </c>
      <c r="D153" s="30">
        <f>1772.8+8410.2</f>
        <v>10183</v>
      </c>
      <c r="E153" s="30">
        <f>7019.8+1204.1</f>
        <v>8223.9</v>
      </c>
      <c r="F153" s="30">
        <f>374.8+1372</f>
        <v>1746.8</v>
      </c>
      <c r="G153" s="42">
        <v>15474.099999999999</v>
      </c>
      <c r="H153" s="30">
        <v>4702.8999999999996</v>
      </c>
      <c r="I153" s="30">
        <f t="shared" ref="I153:I158" si="20">SUM(B153:H153)</f>
        <v>40330.700000000004</v>
      </c>
      <c r="K153" s="65"/>
    </row>
    <row r="154" spans="1:11" ht="15.75" hidden="1">
      <c r="A154" s="28" t="s">
        <v>114</v>
      </c>
      <c r="B154" s="30" t="s">
        <v>35</v>
      </c>
      <c r="C154" s="30" t="s">
        <v>35</v>
      </c>
      <c r="D154" s="30">
        <f>1772.8+9033.9</f>
        <v>10806.699999999999</v>
      </c>
      <c r="E154" s="30">
        <f>7080.5+1205.2</f>
        <v>8285.7000000000007</v>
      </c>
      <c r="F154" s="30">
        <f>374.8+1372</f>
        <v>1746.8</v>
      </c>
      <c r="G154" s="42">
        <v>15606.7</v>
      </c>
      <c r="H154" s="30">
        <v>4937.1000000000004</v>
      </c>
      <c r="I154" s="30">
        <f t="shared" si="20"/>
        <v>41383</v>
      </c>
      <c r="K154" s="65"/>
    </row>
    <row r="155" spans="1:11" ht="15.75" hidden="1">
      <c r="A155" s="28" t="s">
        <v>115</v>
      </c>
      <c r="B155" s="30" t="s">
        <v>35</v>
      </c>
      <c r="C155" s="30" t="s">
        <v>35</v>
      </c>
      <c r="D155" s="30">
        <f>1893.8+9148.7</f>
        <v>11042.5</v>
      </c>
      <c r="E155" s="30">
        <f>7108+1542.1</f>
        <v>8650.1</v>
      </c>
      <c r="F155" s="30">
        <f>374.8+1422.2</f>
        <v>1797</v>
      </c>
      <c r="G155" s="42">
        <v>15885.8</v>
      </c>
      <c r="H155" s="30">
        <v>5076.3</v>
      </c>
      <c r="I155" s="30">
        <f t="shared" si="20"/>
        <v>42451.7</v>
      </c>
      <c r="K155" s="65"/>
    </row>
    <row r="156" spans="1:11" ht="15.75" hidden="1">
      <c r="A156" s="28" t="s">
        <v>116</v>
      </c>
      <c r="B156" s="30" t="s">
        <v>35</v>
      </c>
      <c r="C156" s="30" t="s">
        <v>35</v>
      </c>
      <c r="D156" s="30">
        <f>2492.5+8571.4</f>
        <v>11063.9</v>
      </c>
      <c r="E156" s="30">
        <f>7199.1+1842.6</f>
        <v>9041.7000000000007</v>
      </c>
      <c r="F156" s="30">
        <f>374.8+1422.2</f>
        <v>1797</v>
      </c>
      <c r="G156" s="42">
        <v>15998.7</v>
      </c>
      <c r="H156" s="30">
        <v>5242.2</v>
      </c>
      <c r="I156" s="30">
        <f t="shared" si="20"/>
        <v>43143.5</v>
      </c>
      <c r="K156" s="65"/>
    </row>
    <row r="157" spans="1:11" ht="15.75" hidden="1">
      <c r="A157" s="28" t="s">
        <v>117</v>
      </c>
      <c r="B157" s="30" t="s">
        <v>35</v>
      </c>
      <c r="C157" s="30" t="s">
        <v>35</v>
      </c>
      <c r="D157" s="30">
        <f>2940.6+8726.2</f>
        <v>11666.800000000001</v>
      </c>
      <c r="E157" s="30">
        <f>7319.9+992.8</f>
        <v>8312.6999999999989</v>
      </c>
      <c r="F157" s="30">
        <f>374.8+1422.2</f>
        <v>1797</v>
      </c>
      <c r="G157" s="42">
        <v>16227.200000000003</v>
      </c>
      <c r="H157" s="30">
        <v>5308</v>
      </c>
      <c r="I157" s="30">
        <f t="shared" si="20"/>
        <v>43311.700000000004</v>
      </c>
      <c r="K157" s="65"/>
    </row>
    <row r="158" spans="1:11" ht="15.75" hidden="1">
      <c r="A158" s="28" t="s">
        <v>118</v>
      </c>
      <c r="B158" s="30" t="s">
        <v>35</v>
      </c>
      <c r="C158" s="30" t="s">
        <v>35</v>
      </c>
      <c r="D158" s="30">
        <f>2939+8844.1</f>
        <v>11783.1</v>
      </c>
      <c r="E158" s="30">
        <f>7340.3+1675.2</f>
        <v>9015.5</v>
      </c>
      <c r="F158" s="30">
        <f>367.7+1397.1</f>
        <v>1764.8</v>
      </c>
      <c r="G158" s="42">
        <v>16252.4</v>
      </c>
      <c r="H158" s="30">
        <v>4715.3999999999996</v>
      </c>
      <c r="I158" s="30">
        <f t="shared" si="20"/>
        <v>43531.199999999997</v>
      </c>
      <c r="K158" s="65"/>
    </row>
    <row r="159" spans="1:11" hidden="1">
      <c r="A159" s="28"/>
      <c r="B159" s="30"/>
      <c r="C159" s="38"/>
      <c r="D159" s="30"/>
      <c r="E159" s="30"/>
      <c r="F159" s="30"/>
      <c r="G159" s="42"/>
      <c r="H159" s="30"/>
      <c r="I159" s="30"/>
    </row>
    <row r="160" spans="1:11" ht="15.75" hidden="1">
      <c r="A160" s="28" t="s">
        <v>94</v>
      </c>
      <c r="B160" s="30">
        <v>118.6</v>
      </c>
      <c r="C160" s="30" t="s">
        <v>35</v>
      </c>
      <c r="D160" s="30">
        <f>2994.3+8844.1</f>
        <v>11838.400000000001</v>
      </c>
      <c r="E160" s="30">
        <f>8131.4+1677.1</f>
        <v>9808.5</v>
      </c>
      <c r="F160" s="30">
        <f>367.7+1397.1</f>
        <v>1764.8</v>
      </c>
      <c r="G160" s="42">
        <v>16119.400000000001</v>
      </c>
      <c r="H160" s="30">
        <v>4866.5</v>
      </c>
      <c r="I160" s="30">
        <f t="shared" ref="I160:I165" si="21">SUM(B160:H160)</f>
        <v>44516.2</v>
      </c>
      <c r="K160" s="65"/>
    </row>
    <row r="161" spans="1:15" ht="15.75" hidden="1">
      <c r="A161" s="28" t="s">
        <v>120</v>
      </c>
      <c r="B161" s="30">
        <v>118.6</v>
      </c>
      <c r="C161" s="30" t="s">
        <v>35</v>
      </c>
      <c r="D161" s="30">
        <f>2996.1+8912</f>
        <v>11908.1</v>
      </c>
      <c r="E161" s="30">
        <f>8387.7+1673</f>
        <v>10060.700000000001</v>
      </c>
      <c r="F161" s="30">
        <f>367.7+1397.1</f>
        <v>1764.8</v>
      </c>
      <c r="G161" s="42">
        <v>16429.7</v>
      </c>
      <c r="H161" s="30">
        <v>4646.2999999999993</v>
      </c>
      <c r="I161" s="30">
        <f t="shared" si="21"/>
        <v>44928.2</v>
      </c>
      <c r="K161" s="65"/>
    </row>
    <row r="162" spans="1:15" ht="15.75" hidden="1">
      <c r="A162" s="28" t="s">
        <v>96</v>
      </c>
      <c r="B162" s="30">
        <v>114.3</v>
      </c>
      <c r="C162" s="30" t="s">
        <v>35</v>
      </c>
      <c r="D162" s="30">
        <f>2999.9+8843.5</f>
        <v>11843.4</v>
      </c>
      <c r="E162" s="30">
        <f>9018+777.9</f>
        <v>9795.9</v>
      </c>
      <c r="F162" s="30">
        <f>367.7+1302.9</f>
        <v>1670.6000000000001</v>
      </c>
      <c r="G162" s="42">
        <v>15942.199999999997</v>
      </c>
      <c r="H162" s="30">
        <v>5407.1</v>
      </c>
      <c r="I162" s="30">
        <f t="shared" si="21"/>
        <v>44773.499999999993</v>
      </c>
      <c r="K162" s="65"/>
    </row>
    <row r="163" spans="1:15" ht="15.75" hidden="1">
      <c r="A163" s="28" t="s">
        <v>122</v>
      </c>
      <c r="B163" s="30">
        <v>105.7</v>
      </c>
      <c r="C163" s="30" t="s">
        <v>35</v>
      </c>
      <c r="D163" s="30">
        <f>3050.8+8843.5</f>
        <v>11894.3</v>
      </c>
      <c r="E163" s="30">
        <f>9219.8+779.5</f>
        <v>9999.2999999999993</v>
      </c>
      <c r="F163" s="30">
        <f>367.7+995.3</f>
        <v>1363</v>
      </c>
      <c r="G163" s="42">
        <v>16022.900000000001</v>
      </c>
      <c r="H163" s="30">
        <v>5161.8999999999996</v>
      </c>
      <c r="I163" s="30">
        <f t="shared" si="21"/>
        <v>44547.1</v>
      </c>
      <c r="K163" s="65"/>
    </row>
    <row r="164" spans="1:15" ht="15.75" hidden="1">
      <c r="A164" s="28" t="s">
        <v>123</v>
      </c>
      <c r="B164" s="30">
        <v>101.2</v>
      </c>
      <c r="C164" s="30" t="s">
        <v>35</v>
      </c>
      <c r="D164" s="30">
        <f>3051.8+8843.5</f>
        <v>11895.3</v>
      </c>
      <c r="E164" s="30">
        <f>9324.2+797.2</f>
        <v>10121.400000000001</v>
      </c>
      <c r="F164" s="30">
        <f>367.7+995.3</f>
        <v>1363</v>
      </c>
      <c r="G164" s="42">
        <v>15863</v>
      </c>
      <c r="H164" s="30">
        <v>5586.7</v>
      </c>
      <c r="I164" s="30">
        <f t="shared" si="21"/>
        <v>44930.6</v>
      </c>
      <c r="K164" s="65"/>
    </row>
    <row r="165" spans="1:15" ht="15.75" hidden="1">
      <c r="A165" s="28" t="s">
        <v>124</v>
      </c>
      <c r="B165" s="30">
        <v>96.7</v>
      </c>
      <c r="C165" s="30" t="s">
        <v>35</v>
      </c>
      <c r="D165" s="30">
        <f>3054.9+8858.5</f>
        <v>11913.4</v>
      </c>
      <c r="E165" s="30">
        <f>9863.1+1332.5</f>
        <v>11195.6</v>
      </c>
      <c r="F165" s="30">
        <f>367.7+908.2</f>
        <v>1275.9000000000001</v>
      </c>
      <c r="G165" s="42">
        <v>16080.800000000003</v>
      </c>
      <c r="H165" s="30">
        <v>5886.1</v>
      </c>
      <c r="I165" s="30">
        <f t="shared" si="21"/>
        <v>46448.500000000007</v>
      </c>
      <c r="K165" s="65"/>
    </row>
    <row r="166" spans="1:15" ht="15.75" hidden="1">
      <c r="A166" s="28" t="s">
        <v>125</v>
      </c>
      <c r="B166" s="30">
        <v>96.7</v>
      </c>
      <c r="C166" s="30" t="s">
        <v>35</v>
      </c>
      <c r="D166" s="30">
        <f>3104.9+9479.5</f>
        <v>12584.4</v>
      </c>
      <c r="E166" s="30">
        <f>10298+1972.5</f>
        <v>12270.5</v>
      </c>
      <c r="F166" s="30">
        <f>367.7+908.2</f>
        <v>1275.9000000000001</v>
      </c>
      <c r="G166" s="42">
        <v>16086.000000000004</v>
      </c>
      <c r="H166" s="30">
        <v>6857.3</v>
      </c>
      <c r="I166" s="30">
        <f t="shared" ref="I166:I170" si="22">SUM(B166:H166)</f>
        <v>49170.8</v>
      </c>
      <c r="K166" s="65"/>
    </row>
    <row r="167" spans="1:15" ht="15.75" hidden="1">
      <c r="A167" s="28" t="s">
        <v>126</v>
      </c>
      <c r="B167" s="30">
        <f>92.2+100</f>
        <v>192.2</v>
      </c>
      <c r="C167" s="30" t="s">
        <v>35</v>
      </c>
      <c r="D167" s="30">
        <f>3106.8+10349.5</f>
        <v>13456.3</v>
      </c>
      <c r="E167" s="30">
        <f>10539.8+2973.5</f>
        <v>13513.3</v>
      </c>
      <c r="F167" s="30">
        <f>367.7+908.2</f>
        <v>1275.9000000000001</v>
      </c>
      <c r="G167" s="42">
        <v>15444.5</v>
      </c>
      <c r="H167" s="30">
        <v>7178.5</v>
      </c>
      <c r="I167" s="30">
        <f t="shared" si="22"/>
        <v>51060.7</v>
      </c>
      <c r="K167" s="65"/>
    </row>
    <row r="168" spans="1:15" ht="15.75" hidden="1">
      <c r="A168" s="28" t="s">
        <v>127</v>
      </c>
      <c r="B168" s="30">
        <f>87.6</f>
        <v>87.6</v>
      </c>
      <c r="C168" s="30" t="s">
        <v>35</v>
      </c>
      <c r="D168" s="30">
        <f>3268.7+11633.7</f>
        <v>14902.400000000001</v>
      </c>
      <c r="E168" s="30">
        <f>10644.6+3022.2</f>
        <v>13666.8</v>
      </c>
      <c r="F168" s="30">
        <f>367.7+1008.8</f>
        <v>1376.5</v>
      </c>
      <c r="G168" s="42">
        <v>15820.2</v>
      </c>
      <c r="H168" s="30">
        <v>8158</v>
      </c>
      <c r="I168" s="30">
        <f t="shared" si="22"/>
        <v>54011.5</v>
      </c>
      <c r="K168" s="65"/>
    </row>
    <row r="169" spans="1:15" ht="15.75" hidden="1">
      <c r="A169" s="28" t="s">
        <v>128</v>
      </c>
      <c r="B169" s="30">
        <v>78.2</v>
      </c>
      <c r="C169" s="30" t="s">
        <v>35</v>
      </c>
      <c r="D169" s="30">
        <f>3270.6+13716.7</f>
        <v>16987.3</v>
      </c>
      <c r="E169" s="30">
        <f>10907.3+2841.7</f>
        <v>13749</v>
      </c>
      <c r="F169" s="30">
        <f>367.7+1008.8</f>
        <v>1376.5</v>
      </c>
      <c r="G169" s="42">
        <v>16211.699999999997</v>
      </c>
      <c r="H169" s="30">
        <v>8860.5999999999985</v>
      </c>
      <c r="I169" s="30">
        <f t="shared" si="22"/>
        <v>57263.299999999996</v>
      </c>
      <c r="K169" s="65"/>
    </row>
    <row r="170" spans="1:15" ht="15.75" hidden="1">
      <c r="A170" s="28" t="s">
        <v>129</v>
      </c>
      <c r="B170" s="30">
        <v>78.2</v>
      </c>
      <c r="C170" s="30" t="s">
        <v>35</v>
      </c>
      <c r="D170" s="30">
        <f>3222.5+15987.5</f>
        <v>19210</v>
      </c>
      <c r="E170" s="30">
        <f>11813.6+1341</f>
        <v>13154.6</v>
      </c>
      <c r="F170" s="30">
        <f>367.7+1008.8</f>
        <v>1376.5</v>
      </c>
      <c r="G170" s="42">
        <f>8081+1007.8+11649.2-645.3</f>
        <v>20092.7</v>
      </c>
      <c r="H170" s="30">
        <f>1801.8+2469.7</f>
        <v>4271.5</v>
      </c>
      <c r="I170" s="30">
        <f t="shared" si="22"/>
        <v>58183.5</v>
      </c>
      <c r="K170" s="65"/>
    </row>
    <row r="171" spans="1:15" s="57" customFormat="1" ht="15.75" hidden="1">
      <c r="A171" s="55" t="s">
        <v>130</v>
      </c>
      <c r="B171" s="56">
        <v>2179</v>
      </c>
      <c r="C171" s="23" t="s">
        <v>35</v>
      </c>
      <c r="D171" s="56">
        <v>17033.199999999997</v>
      </c>
      <c r="E171" s="56">
        <v>11788.7</v>
      </c>
      <c r="F171" s="56">
        <v>1350.2</v>
      </c>
      <c r="G171" s="58">
        <v>17033.400000000001</v>
      </c>
      <c r="H171" s="56">
        <v>6942.7</v>
      </c>
      <c r="I171" s="56">
        <f>SUM(B171:H171)</f>
        <v>56327.199999999997</v>
      </c>
      <c r="J171" s="65"/>
      <c r="M171" s="59"/>
    </row>
    <row r="172" spans="1:15" s="57" customFormat="1" hidden="1">
      <c r="A172" s="55"/>
      <c r="B172" s="56"/>
      <c r="C172" s="23" t="s">
        <v>35</v>
      </c>
      <c r="D172" s="56"/>
      <c r="E172" s="56"/>
      <c r="F172" s="56"/>
      <c r="G172" s="58"/>
      <c r="H172" s="56"/>
      <c r="I172" s="56"/>
      <c r="M172" s="59"/>
    </row>
    <row r="173" spans="1:15" ht="15.75" hidden="1">
      <c r="A173" s="28" t="s">
        <v>106</v>
      </c>
      <c r="B173" s="30">
        <v>2583.8000000000002</v>
      </c>
      <c r="C173" s="23" t="s">
        <v>35</v>
      </c>
      <c r="D173" s="30">
        <v>14208</v>
      </c>
      <c r="E173" s="30">
        <v>13783.6</v>
      </c>
      <c r="F173" s="30">
        <v>1350.2</v>
      </c>
      <c r="G173" s="42">
        <v>17196.2</v>
      </c>
      <c r="H173" s="30">
        <v>7317.7</v>
      </c>
      <c r="I173" s="30">
        <f t="shared" ref="I173" si="23">SUM(B173:H173)</f>
        <v>56439.5</v>
      </c>
      <c r="J173" s="65"/>
      <c r="K173" s="57"/>
      <c r="L173" s="57"/>
      <c r="M173" s="54"/>
      <c r="N173" s="53"/>
      <c r="O173" s="51"/>
    </row>
    <row r="174" spans="1:15" ht="15.75" hidden="1">
      <c r="A174" s="28" t="s">
        <v>132</v>
      </c>
      <c r="B174" s="30">
        <v>3083.9</v>
      </c>
      <c r="C174" s="23" t="s">
        <v>35</v>
      </c>
      <c r="D174" s="30">
        <v>14277.099999999999</v>
      </c>
      <c r="E174" s="30">
        <v>14423.4</v>
      </c>
      <c r="F174" s="30">
        <v>1350.2</v>
      </c>
      <c r="G174" s="42">
        <v>17324.599999999999</v>
      </c>
      <c r="H174" s="30">
        <v>6975.0999999999995</v>
      </c>
      <c r="I174" s="30">
        <f t="shared" ref="I174" si="24">SUM(B174:H174)</f>
        <v>57434.299999999996</v>
      </c>
      <c r="J174" s="65"/>
      <c r="K174" s="57"/>
      <c r="L174" s="57"/>
      <c r="M174" s="54"/>
      <c r="N174" s="53"/>
      <c r="O174" s="51"/>
    </row>
    <row r="175" spans="1:15" ht="15.75" hidden="1">
      <c r="A175" s="28" t="s">
        <v>108</v>
      </c>
      <c r="B175" s="30">
        <v>3078.9</v>
      </c>
      <c r="C175" s="23" t="s">
        <v>35</v>
      </c>
      <c r="D175" s="30">
        <v>14949.599999999999</v>
      </c>
      <c r="E175" s="30">
        <v>14452.500000000002</v>
      </c>
      <c r="F175" s="30">
        <v>1417.5</v>
      </c>
      <c r="G175" s="42">
        <v>17533.900000000001</v>
      </c>
      <c r="H175" s="30">
        <v>6909.9</v>
      </c>
      <c r="I175" s="30">
        <f t="shared" ref="I175" si="25">SUM(B175:H175)</f>
        <v>58342.3</v>
      </c>
      <c r="J175" s="65"/>
      <c r="K175" s="57"/>
      <c r="L175" s="57"/>
      <c r="M175" s="54"/>
      <c r="N175" s="53"/>
      <c r="O175" s="51"/>
    </row>
    <row r="176" spans="1:15" ht="15.75" hidden="1">
      <c r="A176" s="28" t="s">
        <v>133</v>
      </c>
      <c r="B176" s="30">
        <v>3073.9</v>
      </c>
      <c r="C176" s="23" t="s">
        <v>35</v>
      </c>
      <c r="D176" s="30">
        <v>13584.3</v>
      </c>
      <c r="E176" s="30">
        <v>14980.099999999999</v>
      </c>
      <c r="F176" s="30">
        <v>1090.8</v>
      </c>
      <c r="G176" s="42">
        <v>19020.899999999998</v>
      </c>
      <c r="H176" s="30">
        <v>6631.1</v>
      </c>
      <c r="I176" s="30">
        <f t="shared" ref="I176" si="26">SUM(B176:H176)</f>
        <v>58381.1</v>
      </c>
      <c r="J176" s="65"/>
      <c r="K176" s="57"/>
      <c r="L176" s="57"/>
      <c r="M176" s="54"/>
      <c r="N176" s="53"/>
      <c r="O176" s="51"/>
    </row>
    <row r="177" spans="1:15" ht="15.75" hidden="1">
      <c r="A177" s="28" t="s">
        <v>134</v>
      </c>
      <c r="B177" s="30">
        <v>3068.9</v>
      </c>
      <c r="C177" s="23" t="s">
        <v>35</v>
      </c>
      <c r="D177" s="30">
        <v>13838.6</v>
      </c>
      <c r="E177" s="30">
        <v>15560.1</v>
      </c>
      <c r="F177" s="30">
        <v>1090.8</v>
      </c>
      <c r="G177" s="42">
        <v>19393.900000000005</v>
      </c>
      <c r="H177" s="30">
        <v>7085.2999999999993</v>
      </c>
      <c r="I177" s="30">
        <f t="shared" ref="I177" si="27">SUM(B177:H177)</f>
        <v>60037.600000000006</v>
      </c>
      <c r="J177" s="65"/>
      <c r="K177" s="57"/>
      <c r="L177" s="57"/>
      <c r="M177" s="54"/>
      <c r="N177" s="53"/>
      <c r="O177" s="51"/>
    </row>
    <row r="178" spans="1:15" ht="15.75" hidden="1">
      <c r="A178" s="28" t="s">
        <v>135</v>
      </c>
      <c r="B178" s="30">
        <v>3063.7</v>
      </c>
      <c r="C178" s="23" t="s">
        <v>35</v>
      </c>
      <c r="D178" s="30">
        <v>13847.699999999999</v>
      </c>
      <c r="E178" s="30">
        <v>16086.900000000001</v>
      </c>
      <c r="F178" s="30">
        <v>1112.3</v>
      </c>
      <c r="G178" s="42">
        <v>19729.100000000002</v>
      </c>
      <c r="H178" s="30">
        <v>7389.6</v>
      </c>
      <c r="I178" s="30">
        <f t="shared" ref="I178" si="28">SUM(B178:H178)</f>
        <v>61229.30000000001</v>
      </c>
      <c r="J178" s="65"/>
      <c r="K178" s="57"/>
      <c r="L178" s="57"/>
      <c r="M178" s="54"/>
      <c r="N178" s="53"/>
      <c r="O178" s="51"/>
    </row>
    <row r="179" spans="1:15" ht="15.75" hidden="1">
      <c r="A179" s="28" t="s">
        <v>136</v>
      </c>
      <c r="B179" s="30">
        <v>3206.7999999999997</v>
      </c>
      <c r="C179" s="23" t="s">
        <v>35</v>
      </c>
      <c r="D179" s="30">
        <v>13547.6</v>
      </c>
      <c r="E179" s="30">
        <v>16405.7</v>
      </c>
      <c r="F179" s="30">
        <v>1112.3</v>
      </c>
      <c r="G179" s="42">
        <v>19773.800000000003</v>
      </c>
      <c r="H179" s="30">
        <v>7601.5</v>
      </c>
      <c r="I179" s="30">
        <f t="shared" ref="I179" si="29">SUM(B179:H179)</f>
        <v>61647.700000000012</v>
      </c>
      <c r="J179" s="65"/>
      <c r="K179" s="57"/>
      <c r="L179" s="57"/>
      <c r="M179" s="54"/>
      <c r="N179" s="53"/>
      <c r="O179" s="51"/>
    </row>
    <row r="180" spans="1:15" ht="15.75" hidden="1">
      <c r="A180" s="28" t="s">
        <v>137</v>
      </c>
      <c r="B180" s="30">
        <v>3156.5</v>
      </c>
      <c r="C180" s="23" t="s">
        <v>35</v>
      </c>
      <c r="D180" s="30">
        <v>14047.6</v>
      </c>
      <c r="E180" s="30">
        <v>16709.2</v>
      </c>
      <c r="F180" s="30">
        <v>1112.3</v>
      </c>
      <c r="G180" s="42">
        <v>19988.600000000002</v>
      </c>
      <c r="H180" s="30">
        <v>7811.5</v>
      </c>
      <c r="I180" s="30">
        <f t="shared" ref="I180" si="30">SUM(B180:H180)</f>
        <v>62825.700000000012</v>
      </c>
      <c r="J180" s="65"/>
      <c r="K180" s="57"/>
      <c r="L180" s="57"/>
      <c r="M180" s="54"/>
      <c r="N180" s="53"/>
      <c r="O180" s="51"/>
    </row>
    <row r="181" spans="1:15" ht="15.75" hidden="1">
      <c r="A181" s="28" t="s">
        <v>138</v>
      </c>
      <c r="B181" s="30">
        <v>2988.7</v>
      </c>
      <c r="C181" s="23" t="s">
        <v>35</v>
      </c>
      <c r="D181" s="30">
        <v>14047.6</v>
      </c>
      <c r="E181" s="30">
        <v>16990.099999999999</v>
      </c>
      <c r="F181" s="30">
        <v>1082.5</v>
      </c>
      <c r="G181" s="42">
        <v>20413.199999999997</v>
      </c>
      <c r="H181" s="30">
        <v>7568.1</v>
      </c>
      <c r="I181" s="30">
        <f>SUM(B181:H181)</f>
        <v>63090.19999999999</v>
      </c>
      <c r="J181" s="65"/>
      <c r="K181" s="57"/>
      <c r="L181" s="57"/>
      <c r="M181" s="54"/>
      <c r="N181" s="53"/>
      <c r="O181" s="51"/>
    </row>
    <row r="182" spans="1:15" ht="15.75" hidden="1">
      <c r="A182" s="28" t="s">
        <v>33</v>
      </c>
      <c r="B182" s="30">
        <v>3083.3999999999996</v>
      </c>
      <c r="C182" s="23" t="s">
        <v>35</v>
      </c>
      <c r="D182" s="30">
        <v>14546.2</v>
      </c>
      <c r="E182" s="30">
        <v>16990.899999999998</v>
      </c>
      <c r="F182" s="30">
        <v>1082.5</v>
      </c>
      <c r="G182" s="42">
        <v>20822.8</v>
      </c>
      <c r="H182" s="30">
        <v>7882.7</v>
      </c>
      <c r="I182" s="30">
        <f t="shared" ref="I182" si="31">SUM(B182:H182)</f>
        <v>64408.5</v>
      </c>
      <c r="J182" s="65"/>
      <c r="K182" s="57"/>
      <c r="L182" s="57"/>
      <c r="M182" s="54"/>
      <c r="N182" s="53"/>
      <c r="O182" s="51"/>
    </row>
    <row r="183" spans="1:15" ht="15.75" hidden="1">
      <c r="A183" s="28" t="s">
        <v>34</v>
      </c>
      <c r="B183" s="30">
        <v>2677.7999999999997</v>
      </c>
      <c r="C183" s="23" t="s">
        <v>35</v>
      </c>
      <c r="D183" s="30">
        <v>14546.2</v>
      </c>
      <c r="E183" s="30">
        <v>17018.2</v>
      </c>
      <c r="F183" s="30">
        <v>1082.5</v>
      </c>
      <c r="G183" s="42">
        <v>21035.100000000002</v>
      </c>
      <c r="H183" s="30">
        <v>8134.2999999999993</v>
      </c>
      <c r="I183" s="30">
        <f t="shared" ref="I183" si="32">SUM(B183:H183)</f>
        <v>64494.100000000006</v>
      </c>
      <c r="J183" s="65"/>
      <c r="K183" s="57"/>
      <c r="L183" s="57"/>
      <c r="M183" s="54"/>
      <c r="N183" s="53"/>
      <c r="O183" s="51"/>
    </row>
    <row r="184" spans="1:15" ht="15.75" hidden="1">
      <c r="A184" s="28" t="s">
        <v>36</v>
      </c>
      <c r="B184" s="30">
        <v>2690.1</v>
      </c>
      <c r="C184" s="23" t="s">
        <v>35</v>
      </c>
      <c r="D184" s="30">
        <v>15478.699999999999</v>
      </c>
      <c r="E184" s="30">
        <v>16713.399999999998</v>
      </c>
      <c r="F184" s="30">
        <v>1087.9000000000001</v>
      </c>
      <c r="G184" s="42">
        <v>21153.000000000004</v>
      </c>
      <c r="H184" s="30">
        <v>7706.5999999999995</v>
      </c>
      <c r="I184" s="30">
        <f t="shared" ref="I184" si="33">SUM(B184:H184)</f>
        <v>64829.700000000004</v>
      </c>
      <c r="J184" s="65"/>
      <c r="K184" s="57"/>
      <c r="L184" s="57"/>
      <c r="M184" s="54"/>
      <c r="N184" s="53"/>
      <c r="O184" s="51"/>
    </row>
    <row r="185" spans="1:15" hidden="1">
      <c r="A185" s="45"/>
      <c r="B185" s="46"/>
      <c r="C185" s="23" t="s">
        <v>35</v>
      </c>
      <c r="D185" s="46"/>
      <c r="E185" s="46"/>
      <c r="F185" s="46"/>
      <c r="G185" s="47"/>
      <c r="H185" s="46"/>
      <c r="I185" s="46"/>
      <c r="K185" s="57"/>
      <c r="L185" s="57"/>
      <c r="M185" s="54"/>
      <c r="N185" s="53"/>
      <c r="O185" s="51"/>
    </row>
    <row r="186" spans="1:15" ht="15.75" hidden="1">
      <c r="A186" s="28" t="s">
        <v>119</v>
      </c>
      <c r="B186" s="30">
        <v>2700.7000000000003</v>
      </c>
      <c r="C186" s="23" t="s">
        <v>35</v>
      </c>
      <c r="D186" s="30">
        <v>15552.8</v>
      </c>
      <c r="E186" s="30">
        <v>17896.5</v>
      </c>
      <c r="F186" s="30">
        <v>1087.9000000000001</v>
      </c>
      <c r="G186" s="42">
        <v>21264</v>
      </c>
      <c r="H186" s="30">
        <v>6685.9</v>
      </c>
      <c r="I186" s="30">
        <f t="shared" ref="I186" si="34">SUM(B186:H186)</f>
        <v>65187.8</v>
      </c>
      <c r="J186" s="65"/>
      <c r="K186" s="57"/>
      <c r="L186" s="57"/>
      <c r="M186" s="54"/>
      <c r="N186" s="53"/>
      <c r="O186" s="51"/>
    </row>
    <row r="187" spans="1:15" ht="15.75" hidden="1">
      <c r="A187" s="28" t="s">
        <v>139</v>
      </c>
      <c r="B187" s="30">
        <v>2695</v>
      </c>
      <c r="C187" s="23" t="s">
        <v>35</v>
      </c>
      <c r="D187" s="30">
        <v>15552.8</v>
      </c>
      <c r="E187" s="30">
        <v>17924.7</v>
      </c>
      <c r="F187" s="30">
        <v>1087.9000000000001</v>
      </c>
      <c r="G187" s="42">
        <v>21523.800000000003</v>
      </c>
      <c r="H187" s="30">
        <v>6722.8</v>
      </c>
      <c r="I187" s="30">
        <f t="shared" ref="I187" si="35">SUM(B187:H187)</f>
        <v>65507.000000000007</v>
      </c>
      <c r="J187" s="65"/>
      <c r="K187" s="57"/>
      <c r="L187" s="57"/>
      <c r="M187" s="54"/>
      <c r="N187" s="53"/>
      <c r="O187" s="51"/>
    </row>
    <row r="188" spans="1:15" ht="15.75" hidden="1">
      <c r="A188" s="28" t="s">
        <v>121</v>
      </c>
      <c r="B188" s="30">
        <v>2695</v>
      </c>
      <c r="C188" s="23" t="s">
        <v>35</v>
      </c>
      <c r="D188" s="30">
        <v>15152.7</v>
      </c>
      <c r="E188" s="30">
        <v>18414.5</v>
      </c>
      <c r="F188" s="30">
        <v>1126.9000000000001</v>
      </c>
      <c r="G188" s="42">
        <v>21200.700000000004</v>
      </c>
      <c r="H188" s="30">
        <v>7559.7999999999993</v>
      </c>
      <c r="I188" s="30">
        <f t="shared" ref="I188" si="36">SUM(B188:H188)</f>
        <v>66149.600000000006</v>
      </c>
      <c r="J188" s="65"/>
      <c r="K188" s="57"/>
      <c r="L188" s="57"/>
      <c r="M188" s="54"/>
      <c r="N188" s="53"/>
      <c r="O188" s="51"/>
    </row>
    <row r="189" spans="1:15" ht="15.75" hidden="1">
      <c r="A189" s="28" t="s">
        <v>140</v>
      </c>
      <c r="B189" s="30">
        <v>2695</v>
      </c>
      <c r="C189" s="23" t="s">
        <v>35</v>
      </c>
      <c r="D189" s="30">
        <v>16152.8</v>
      </c>
      <c r="E189" s="30">
        <v>18411.899999999998</v>
      </c>
      <c r="F189" s="30">
        <v>780.90000000000009</v>
      </c>
      <c r="G189" s="42">
        <v>21499.3</v>
      </c>
      <c r="H189" s="30">
        <v>7168.8</v>
      </c>
      <c r="I189" s="30">
        <f t="shared" ref="I189" si="37">SUM(B189:H189)</f>
        <v>66708.7</v>
      </c>
      <c r="J189" s="65"/>
      <c r="K189" s="57"/>
      <c r="L189" s="57"/>
      <c r="M189" s="54"/>
      <c r="N189" s="53"/>
      <c r="O189" s="51"/>
    </row>
    <row r="190" spans="1:15" ht="15.75" hidden="1">
      <c r="A190" s="28" t="s">
        <v>141</v>
      </c>
      <c r="B190" s="30">
        <v>2695</v>
      </c>
      <c r="C190" s="23" t="s">
        <v>35</v>
      </c>
      <c r="D190" s="30">
        <v>16152.8</v>
      </c>
      <c r="E190" s="30">
        <v>18900</v>
      </c>
      <c r="F190" s="30">
        <v>780.90000000000009</v>
      </c>
      <c r="G190" s="42">
        <v>21698.400000000001</v>
      </c>
      <c r="H190" s="30">
        <v>7649.4999999999991</v>
      </c>
      <c r="I190" s="30">
        <f t="shared" ref="I190" si="38">SUM(B190:H190)</f>
        <v>67876.600000000006</v>
      </c>
      <c r="J190" s="65"/>
      <c r="K190" s="57"/>
      <c r="L190" s="57"/>
      <c r="M190" s="54"/>
      <c r="N190" s="53"/>
      <c r="O190" s="51"/>
    </row>
    <row r="191" spans="1:15" ht="15.75" hidden="1">
      <c r="A191" s="28" t="s">
        <v>142</v>
      </c>
      <c r="B191" s="30">
        <v>2375.1000000000004</v>
      </c>
      <c r="C191" s="23" t="s">
        <v>35</v>
      </c>
      <c r="D191" s="30">
        <v>16658.5</v>
      </c>
      <c r="E191" s="30">
        <v>18869.799999999996</v>
      </c>
      <c r="F191" s="30">
        <v>767.6</v>
      </c>
      <c r="G191" s="42">
        <v>21803.300000000003</v>
      </c>
      <c r="H191" s="30">
        <v>7763.4999999999991</v>
      </c>
      <c r="I191" s="30">
        <f t="shared" ref="I191" si="39">SUM(B191:H191)</f>
        <v>68237.799999999988</v>
      </c>
      <c r="J191" s="65"/>
      <c r="K191" s="57"/>
      <c r="L191" s="57"/>
      <c r="M191" s="54"/>
      <c r="N191" s="53"/>
      <c r="O191" s="51"/>
    </row>
    <row r="192" spans="1:15" ht="15.75" hidden="1">
      <c r="A192" s="28" t="s">
        <v>143</v>
      </c>
      <c r="B192" s="30">
        <v>2375</v>
      </c>
      <c r="C192" s="23" t="s">
        <v>35</v>
      </c>
      <c r="D192" s="30">
        <v>16658.5</v>
      </c>
      <c r="E192" s="30">
        <v>19038.900000000001</v>
      </c>
      <c r="F192" s="30">
        <v>767.6</v>
      </c>
      <c r="G192" s="42">
        <v>21976.400000000001</v>
      </c>
      <c r="H192" s="30">
        <v>8356</v>
      </c>
      <c r="I192" s="30">
        <f t="shared" ref="I192" si="40">SUM(B192:H192)</f>
        <v>69172.399999999994</v>
      </c>
      <c r="J192" s="65"/>
      <c r="K192" s="57"/>
      <c r="L192" s="57"/>
      <c r="M192" s="54"/>
      <c r="N192" s="53"/>
      <c r="O192" s="51"/>
    </row>
    <row r="193" spans="1:15" ht="15.75" hidden="1">
      <c r="A193" s="28" t="s">
        <v>144</v>
      </c>
      <c r="B193" s="30">
        <v>2405</v>
      </c>
      <c r="C193" s="23" t="s">
        <v>35</v>
      </c>
      <c r="D193" s="30">
        <v>16658.5</v>
      </c>
      <c r="E193" s="30">
        <v>18396</v>
      </c>
      <c r="F193" s="30">
        <v>767.6</v>
      </c>
      <c r="G193" s="42">
        <v>22836.799999999999</v>
      </c>
      <c r="H193" s="30">
        <v>8450.2999999999993</v>
      </c>
      <c r="I193" s="30">
        <f t="shared" ref="I193" si="41">SUM(B193:H193)</f>
        <v>69514.2</v>
      </c>
      <c r="J193" s="65"/>
      <c r="K193" s="57"/>
      <c r="L193" s="57"/>
      <c r="M193" s="54"/>
      <c r="N193" s="53"/>
      <c r="O193" s="51"/>
    </row>
    <row r="194" spans="1:15" ht="15.75" hidden="1">
      <c r="A194" s="28" t="s">
        <v>145</v>
      </c>
      <c r="B194" s="30">
        <v>2405</v>
      </c>
      <c r="C194" s="23" t="s">
        <v>35</v>
      </c>
      <c r="D194" s="30">
        <v>16658.5</v>
      </c>
      <c r="E194" s="30">
        <v>18518.100000000002</v>
      </c>
      <c r="F194" s="30">
        <v>767.6</v>
      </c>
      <c r="G194" s="42">
        <v>22876</v>
      </c>
      <c r="H194" s="30">
        <v>8995.0999999999985</v>
      </c>
      <c r="I194" s="30">
        <f t="shared" ref="I194" si="42">SUM(B194:H194)</f>
        <v>70220.3</v>
      </c>
      <c r="J194" s="65"/>
      <c r="K194" s="57"/>
      <c r="L194" s="57"/>
      <c r="M194" s="54"/>
      <c r="N194" s="53"/>
      <c r="O194" s="51"/>
    </row>
    <row r="195" spans="1:15" ht="15.75" hidden="1">
      <c r="A195" s="28" t="s">
        <v>146</v>
      </c>
      <c r="B195" s="30">
        <v>2495</v>
      </c>
      <c r="C195" s="23" t="s">
        <v>35</v>
      </c>
      <c r="D195" s="30">
        <v>16658.5</v>
      </c>
      <c r="E195" s="30">
        <v>18679.999999999996</v>
      </c>
      <c r="F195" s="30">
        <v>767.6</v>
      </c>
      <c r="G195" s="42">
        <v>23134.899999999998</v>
      </c>
      <c r="H195" s="30">
        <v>9587.2000000000007</v>
      </c>
      <c r="I195" s="30">
        <f t="shared" ref="I195:I196" si="43">SUM(B195:H195)</f>
        <v>71323.199999999997</v>
      </c>
      <c r="J195" s="65"/>
      <c r="K195" s="57"/>
      <c r="L195" s="57"/>
      <c r="M195" s="54"/>
      <c r="N195" s="53"/>
      <c r="O195" s="51"/>
    </row>
    <row r="196" spans="1:15" ht="15.75" hidden="1">
      <c r="A196" s="28" t="s">
        <v>147</v>
      </c>
      <c r="B196" s="30">
        <v>2514</v>
      </c>
      <c r="C196" s="23" t="s">
        <v>35</v>
      </c>
      <c r="D196" s="30">
        <v>17058.5</v>
      </c>
      <c r="E196" s="30">
        <v>18910.399999999998</v>
      </c>
      <c r="F196" s="30">
        <v>767.6</v>
      </c>
      <c r="G196" s="42">
        <v>23357.399999999998</v>
      </c>
      <c r="H196" s="30">
        <v>9697.8000000000011</v>
      </c>
      <c r="I196" s="30">
        <f t="shared" si="43"/>
        <v>72305.7</v>
      </c>
      <c r="J196" s="65"/>
      <c r="K196" s="57"/>
      <c r="L196" s="57"/>
      <c r="M196" s="54"/>
      <c r="N196" s="53"/>
      <c r="O196" s="51"/>
    </row>
    <row r="197" spans="1:15" ht="15.75" hidden="1">
      <c r="A197" s="28" t="s">
        <v>148</v>
      </c>
      <c r="B197" s="30">
        <v>2568.4</v>
      </c>
      <c r="C197" s="23" t="s">
        <v>35</v>
      </c>
      <c r="D197" s="30">
        <v>17471.5</v>
      </c>
      <c r="E197" s="30">
        <v>18859.3</v>
      </c>
      <c r="F197" s="30">
        <v>812.8</v>
      </c>
      <c r="G197" s="42">
        <v>23483</v>
      </c>
      <c r="H197" s="30">
        <v>9037.4000000000015</v>
      </c>
      <c r="I197" s="30">
        <f t="shared" ref="I197" si="44">SUM(B197:H197)</f>
        <v>72232.399999999994</v>
      </c>
      <c r="J197" s="65"/>
      <c r="K197" s="57"/>
      <c r="L197" s="57"/>
      <c r="M197" s="54"/>
      <c r="N197" s="53"/>
      <c r="O197" s="51"/>
    </row>
    <row r="198" spans="1:15" hidden="1">
      <c r="A198" s="45"/>
      <c r="B198" s="46"/>
      <c r="C198" s="23" t="s">
        <v>35</v>
      </c>
      <c r="D198" s="46"/>
      <c r="E198" s="46"/>
      <c r="F198" s="46"/>
      <c r="G198" s="47"/>
      <c r="H198" s="46"/>
      <c r="I198" s="46"/>
      <c r="K198" s="57"/>
      <c r="L198" s="57"/>
      <c r="M198" s="54"/>
      <c r="N198" s="53"/>
      <c r="O198" s="51"/>
    </row>
    <row r="199" spans="1:15" ht="15.75" hidden="1">
      <c r="A199" s="28" t="s">
        <v>131</v>
      </c>
      <c r="B199" s="30">
        <v>2595.6</v>
      </c>
      <c r="C199" s="23" t="s">
        <v>35</v>
      </c>
      <c r="D199" s="30">
        <v>17058.899999999998</v>
      </c>
      <c r="E199" s="30">
        <v>19920.8</v>
      </c>
      <c r="F199" s="30">
        <v>812.8</v>
      </c>
      <c r="G199" s="42">
        <v>23506.1</v>
      </c>
      <c r="H199" s="30">
        <v>7901.1</v>
      </c>
      <c r="I199" s="30">
        <f t="shared" ref="I199" si="45">SUM(B199:H199)</f>
        <v>71795.3</v>
      </c>
      <c r="J199" s="65"/>
      <c r="K199" s="57"/>
      <c r="L199" s="57"/>
      <c r="M199" s="54"/>
      <c r="N199" s="53"/>
      <c r="O199" s="51"/>
    </row>
    <row r="200" spans="1:15" ht="15.75" hidden="1">
      <c r="A200" s="28" t="s">
        <v>149</v>
      </c>
      <c r="B200" s="30">
        <v>2596.3000000000002</v>
      </c>
      <c r="C200" s="23" t="s">
        <v>35</v>
      </c>
      <c r="D200" s="30">
        <v>16658.899999999998</v>
      </c>
      <c r="E200" s="30">
        <v>19932.8</v>
      </c>
      <c r="F200" s="30">
        <v>812.8</v>
      </c>
      <c r="G200" s="42">
        <v>23200.6</v>
      </c>
      <c r="H200" s="30">
        <v>8672.7000000000007</v>
      </c>
      <c r="I200" s="30">
        <f t="shared" ref="I200" si="46">SUM(B200:H200)</f>
        <v>71874.100000000006</v>
      </c>
      <c r="J200" s="65"/>
      <c r="K200" s="57"/>
      <c r="L200" s="57"/>
      <c r="M200" s="54"/>
      <c r="N200" s="53"/>
      <c r="O200" s="51"/>
    </row>
    <row r="201" spans="1:15" ht="15.75" hidden="1">
      <c r="A201" s="28" t="s">
        <v>153</v>
      </c>
      <c r="B201" s="30">
        <v>2624.3</v>
      </c>
      <c r="C201" s="23" t="s">
        <v>35</v>
      </c>
      <c r="D201" s="30">
        <v>16658.899999999998</v>
      </c>
      <c r="E201" s="30">
        <v>20350.3</v>
      </c>
      <c r="F201" s="30">
        <v>806.9</v>
      </c>
      <c r="G201" s="42">
        <v>22994.399999999998</v>
      </c>
      <c r="H201" s="30">
        <v>9537.7999999999993</v>
      </c>
      <c r="I201" s="30">
        <f t="shared" ref="I201" si="47">SUM(B201:H201)</f>
        <v>72972.600000000006</v>
      </c>
      <c r="J201" s="65"/>
      <c r="K201" s="57"/>
      <c r="L201" s="57"/>
      <c r="M201" s="54"/>
      <c r="N201" s="53"/>
      <c r="O201" s="51"/>
    </row>
    <row r="202" spans="1:15" ht="15.75" hidden="1">
      <c r="A202" s="28" t="s">
        <v>161</v>
      </c>
      <c r="B202" s="30">
        <v>2804.3</v>
      </c>
      <c r="C202" s="23" t="s">
        <v>35</v>
      </c>
      <c r="D202" s="30">
        <v>16658.899999999998</v>
      </c>
      <c r="E202" s="30">
        <v>20782.3</v>
      </c>
      <c r="F202" s="30">
        <v>806.9</v>
      </c>
      <c r="G202" s="42">
        <v>23167.1</v>
      </c>
      <c r="H202" s="30">
        <v>9276.5</v>
      </c>
      <c r="I202" s="30">
        <f t="shared" ref="I202" si="48">SUM(B202:H202)</f>
        <v>73496</v>
      </c>
      <c r="J202" s="65"/>
      <c r="K202" s="57"/>
      <c r="L202" s="57"/>
      <c r="M202" s="54"/>
      <c r="N202" s="53"/>
      <c r="O202" s="51"/>
    </row>
    <row r="203" spans="1:15" ht="15.75" hidden="1">
      <c r="A203" s="28" t="s">
        <v>166</v>
      </c>
      <c r="B203" s="30">
        <v>2804.3</v>
      </c>
      <c r="C203" s="23" t="s">
        <v>35</v>
      </c>
      <c r="D203" s="30">
        <v>16658.899999999998</v>
      </c>
      <c r="E203" s="30">
        <v>21149</v>
      </c>
      <c r="F203" s="30">
        <v>806.9</v>
      </c>
      <c r="G203" s="42">
        <v>23537.599999999999</v>
      </c>
      <c r="H203" s="30">
        <v>9566.9</v>
      </c>
      <c r="I203" s="30">
        <f t="shared" ref="I203" si="49">SUM(B203:H203)</f>
        <v>74523.599999999991</v>
      </c>
      <c r="J203" s="65"/>
      <c r="K203" s="57"/>
      <c r="L203" s="57"/>
      <c r="M203" s="54"/>
      <c r="N203" s="53"/>
      <c r="O203" s="51"/>
    </row>
    <row r="204" spans="1:15" ht="15.75" hidden="1">
      <c r="A204" s="28" t="s">
        <v>167</v>
      </c>
      <c r="B204" s="30">
        <v>2604.3000000000002</v>
      </c>
      <c r="C204" s="23" t="s">
        <v>35</v>
      </c>
      <c r="D204" s="30">
        <v>16658.899999999998</v>
      </c>
      <c r="E204" s="30">
        <v>21458.3</v>
      </c>
      <c r="F204" s="30">
        <v>805.1</v>
      </c>
      <c r="G204" s="42">
        <v>23630</v>
      </c>
      <c r="H204" s="30">
        <v>10010.799999999999</v>
      </c>
      <c r="I204" s="30">
        <f t="shared" ref="I204" si="50">SUM(B204:H204)</f>
        <v>75167.399999999994</v>
      </c>
      <c r="J204" s="65"/>
      <c r="K204" s="57"/>
      <c r="L204" s="57"/>
      <c r="M204" s="54"/>
      <c r="N204" s="53"/>
      <c r="O204" s="51"/>
    </row>
    <row r="205" spans="1:15" ht="15.75" hidden="1">
      <c r="A205" s="28" t="s">
        <v>168</v>
      </c>
      <c r="B205" s="30">
        <v>2404.2999999999997</v>
      </c>
      <c r="C205" s="23" t="s">
        <v>35</v>
      </c>
      <c r="D205" s="30">
        <v>16658.899999999998</v>
      </c>
      <c r="E205" s="30">
        <v>22068.499999999996</v>
      </c>
      <c r="F205" s="30">
        <v>805.1</v>
      </c>
      <c r="G205" s="42">
        <v>24293.8</v>
      </c>
      <c r="H205" s="30">
        <v>10805.099999999999</v>
      </c>
      <c r="I205" s="30">
        <f t="shared" ref="I205" si="51">SUM(B205:H205)</f>
        <v>77035.699999999983</v>
      </c>
      <c r="J205" s="65"/>
      <c r="K205" s="57"/>
      <c r="L205" s="57"/>
      <c r="M205" s="54"/>
      <c r="N205" s="53"/>
      <c r="O205" s="51"/>
    </row>
    <row r="206" spans="1:15" ht="15.75" hidden="1">
      <c r="A206" s="28" t="s">
        <v>169</v>
      </c>
      <c r="B206" s="30">
        <v>2404.2999999999997</v>
      </c>
      <c r="C206" s="23" t="s">
        <v>35</v>
      </c>
      <c r="D206" s="30">
        <v>16658.899999999998</v>
      </c>
      <c r="E206" s="30">
        <v>22433.200000000001</v>
      </c>
      <c r="F206" s="30">
        <v>805.1</v>
      </c>
      <c r="G206" s="42">
        <v>24022.099999999995</v>
      </c>
      <c r="H206" s="30">
        <v>11647</v>
      </c>
      <c r="I206" s="30">
        <f t="shared" ref="I206" si="52">SUM(B206:H206)</f>
        <v>77970.599999999991</v>
      </c>
      <c r="J206" s="65"/>
      <c r="K206" s="57"/>
      <c r="L206" s="57"/>
      <c r="M206" s="54"/>
      <c r="N206" s="53"/>
      <c r="O206" s="51"/>
    </row>
    <row r="207" spans="1:15" ht="15.75" hidden="1">
      <c r="A207" s="28" t="s">
        <v>170</v>
      </c>
      <c r="B207" s="30">
        <v>2404.2999999999997</v>
      </c>
      <c r="C207" s="23" t="s">
        <v>35</v>
      </c>
      <c r="D207" s="30">
        <v>16711.8</v>
      </c>
      <c r="E207" s="30">
        <v>22735.200000000001</v>
      </c>
      <c r="F207" s="30">
        <v>346</v>
      </c>
      <c r="G207" s="42">
        <v>24563.899999999998</v>
      </c>
      <c r="H207" s="30">
        <v>11954.400000000001</v>
      </c>
      <c r="I207" s="30">
        <f t="shared" ref="I207:I212" si="53">SUM(B207:H207)</f>
        <v>78715.600000000006</v>
      </c>
      <c r="J207" s="65"/>
      <c r="K207" s="57"/>
      <c r="L207" s="57"/>
      <c r="M207" s="54"/>
      <c r="N207" s="53"/>
      <c r="O207" s="51"/>
    </row>
    <row r="208" spans="1:15" ht="15.75" hidden="1">
      <c r="A208" s="28" t="s">
        <v>171</v>
      </c>
      <c r="B208" s="30">
        <v>2353.2999999999997</v>
      </c>
      <c r="C208" s="23" t="s">
        <v>35</v>
      </c>
      <c r="D208" s="30">
        <v>16711.8</v>
      </c>
      <c r="E208" s="30">
        <v>23883.599999999999</v>
      </c>
      <c r="F208" s="30">
        <v>346</v>
      </c>
      <c r="G208" s="42">
        <v>25064.899999999994</v>
      </c>
      <c r="H208" s="30">
        <v>13081</v>
      </c>
      <c r="I208" s="30">
        <f t="shared" si="53"/>
        <v>81440.599999999991</v>
      </c>
      <c r="J208" s="65"/>
      <c r="K208" s="57"/>
      <c r="L208" s="57"/>
      <c r="M208" s="54"/>
      <c r="N208" s="53"/>
      <c r="O208" s="51"/>
    </row>
    <row r="209" spans="1:15" ht="15.75" hidden="1">
      <c r="A209" s="28" t="s">
        <v>173</v>
      </c>
      <c r="B209" s="30">
        <v>2371.7999999999997</v>
      </c>
      <c r="C209" s="23" t="s">
        <v>35</v>
      </c>
      <c r="D209" s="30">
        <v>16737.599999999999</v>
      </c>
      <c r="E209" s="30">
        <v>24442.6</v>
      </c>
      <c r="F209" s="30">
        <v>346</v>
      </c>
      <c r="G209" s="42">
        <v>25356.1</v>
      </c>
      <c r="H209" s="30">
        <v>13123.199999999999</v>
      </c>
      <c r="I209" s="30">
        <f t="shared" si="53"/>
        <v>82377.3</v>
      </c>
      <c r="J209" s="65"/>
      <c r="K209" s="57"/>
      <c r="L209" s="57"/>
      <c r="M209" s="54"/>
      <c r="N209" s="53"/>
      <c r="O209" s="51"/>
    </row>
    <row r="210" spans="1:15" ht="15.75" hidden="1">
      <c r="A210" s="28" t="s">
        <v>174</v>
      </c>
      <c r="B210" s="30">
        <v>2430.7999999999997</v>
      </c>
      <c r="C210" s="23" t="s">
        <v>35</v>
      </c>
      <c r="D210" s="30">
        <v>17595.400000000001</v>
      </c>
      <c r="E210" s="30">
        <v>24760.100000000002</v>
      </c>
      <c r="F210" s="30">
        <v>331.2</v>
      </c>
      <c r="G210" s="42">
        <v>26593.3</v>
      </c>
      <c r="H210" s="30">
        <v>11397.8</v>
      </c>
      <c r="I210" s="30">
        <f t="shared" si="53"/>
        <v>83108.600000000006</v>
      </c>
      <c r="J210" s="65"/>
      <c r="K210" s="57"/>
      <c r="L210" s="57"/>
      <c r="M210" s="54"/>
      <c r="N210" s="53"/>
      <c r="O210" s="51"/>
    </row>
    <row r="211" spans="1:15" hidden="1">
      <c r="A211" s="45"/>
      <c r="B211" s="46"/>
      <c r="C211" s="23" t="s">
        <v>35</v>
      </c>
      <c r="D211" s="46"/>
      <c r="E211" s="46"/>
      <c r="F211" s="46"/>
      <c r="G211" s="47"/>
      <c r="H211" s="46"/>
      <c r="I211" s="46"/>
      <c r="K211" s="57"/>
      <c r="L211" s="57"/>
      <c r="M211" s="54"/>
      <c r="N211" s="53"/>
      <c r="O211" s="51"/>
    </row>
    <row r="212" spans="1:15" ht="15.75" hidden="1">
      <c r="A212" s="28" t="s">
        <v>162</v>
      </c>
      <c r="B212" s="30">
        <v>2458.5</v>
      </c>
      <c r="C212" s="23" t="s">
        <v>35</v>
      </c>
      <c r="D212" s="30">
        <v>17682.2</v>
      </c>
      <c r="E212" s="30">
        <v>25983.300000000003</v>
      </c>
      <c r="F212" s="30">
        <v>331.2</v>
      </c>
      <c r="G212" s="42">
        <v>26288.899999999998</v>
      </c>
      <c r="H212" s="30">
        <v>10969.900000000001</v>
      </c>
      <c r="I212" s="30">
        <f t="shared" si="53"/>
        <v>83714</v>
      </c>
      <c r="J212" s="65"/>
      <c r="K212" s="57"/>
      <c r="L212" s="57"/>
      <c r="M212" s="54"/>
      <c r="N212" s="53"/>
      <c r="O212" s="51"/>
    </row>
    <row r="213" spans="1:15" ht="15.75" hidden="1">
      <c r="A213" s="28" t="s">
        <v>178</v>
      </c>
      <c r="B213" s="30">
        <v>4553.8</v>
      </c>
      <c r="C213" s="23" t="s">
        <v>35</v>
      </c>
      <c r="D213" s="30">
        <v>17678.7</v>
      </c>
      <c r="E213" s="30">
        <v>25707</v>
      </c>
      <c r="F213" s="30">
        <v>331.2</v>
      </c>
      <c r="G213" s="27">
        <v>26390.799999999999</v>
      </c>
      <c r="H213" s="30">
        <v>10917</v>
      </c>
      <c r="I213" s="30">
        <f t="shared" ref="I213" si="54">SUM(B213:H213)</f>
        <v>85578.5</v>
      </c>
      <c r="J213" s="65"/>
      <c r="K213" s="57"/>
      <c r="L213" s="57"/>
      <c r="M213" s="54"/>
      <c r="N213" s="53"/>
      <c r="O213" s="51"/>
    </row>
    <row r="214" spans="1:15" ht="15.75" hidden="1">
      <c r="A214" s="28" t="s">
        <v>154</v>
      </c>
      <c r="B214" s="30">
        <v>4553.8</v>
      </c>
      <c r="C214" s="23" t="s">
        <v>35</v>
      </c>
      <c r="D214" s="30">
        <v>17678.7</v>
      </c>
      <c r="E214" s="30">
        <v>25576.400000000005</v>
      </c>
      <c r="F214" s="30">
        <v>331.2</v>
      </c>
      <c r="G214" s="27">
        <v>25720</v>
      </c>
      <c r="H214" s="30">
        <v>11895</v>
      </c>
      <c r="I214" s="30">
        <f t="shared" ref="I214" si="55">SUM(B214:H214)</f>
        <v>85755.1</v>
      </c>
      <c r="J214" s="65"/>
      <c r="K214" s="57"/>
      <c r="L214" s="57"/>
      <c r="M214" s="54"/>
      <c r="N214" s="53"/>
      <c r="O214" s="51"/>
    </row>
    <row r="215" spans="1:15" ht="15.75" hidden="1">
      <c r="A215" s="45" t="s">
        <v>180</v>
      </c>
      <c r="B215" s="30">
        <v>4551.8</v>
      </c>
      <c r="C215" s="4">
        <v>300</v>
      </c>
      <c r="D215" s="30">
        <v>18344.8</v>
      </c>
      <c r="E215" s="30">
        <v>26136.7</v>
      </c>
      <c r="F215" s="30">
        <v>331.2</v>
      </c>
      <c r="G215" s="27">
        <v>25975.5</v>
      </c>
      <c r="H215" s="30">
        <v>12061.2</v>
      </c>
      <c r="I215" s="30">
        <f t="shared" ref="I215" si="56">SUM(B215:H215)</f>
        <v>87701.2</v>
      </c>
      <c r="J215" s="65"/>
      <c r="K215" s="57"/>
      <c r="L215" s="57"/>
      <c r="M215" s="54"/>
      <c r="N215" s="53"/>
      <c r="O215" s="51"/>
    </row>
    <row r="216" spans="1:15" ht="15.75" hidden="1">
      <c r="A216" s="45" t="s">
        <v>181</v>
      </c>
      <c r="B216" s="30">
        <v>4562.2000000000007</v>
      </c>
      <c r="C216" s="23" t="s">
        <v>35</v>
      </c>
      <c r="D216" s="30">
        <v>18351.599999999999</v>
      </c>
      <c r="E216" s="30">
        <v>27293.599999999999</v>
      </c>
      <c r="F216" s="30">
        <v>331.2</v>
      </c>
      <c r="G216" s="27">
        <v>25903.799999999996</v>
      </c>
      <c r="H216" s="30">
        <v>12387.2</v>
      </c>
      <c r="I216" s="30">
        <f t="shared" ref="I216" si="57">SUM(B216:H216)</f>
        <v>88829.599999999991</v>
      </c>
      <c r="J216" s="65"/>
      <c r="K216" s="57"/>
      <c r="L216" s="57" t="s">
        <v>203</v>
      </c>
      <c r="M216" s="54"/>
      <c r="N216" s="53"/>
      <c r="O216" s="51"/>
    </row>
    <row r="217" spans="1:15" ht="15.75" hidden="1">
      <c r="A217" s="28" t="s">
        <v>182</v>
      </c>
      <c r="B217" s="30">
        <v>4562.2000000000007</v>
      </c>
      <c r="C217" s="23" t="s">
        <v>35</v>
      </c>
      <c r="D217" s="30">
        <v>18384.599999999999</v>
      </c>
      <c r="E217" s="30">
        <v>28649.899999999998</v>
      </c>
      <c r="F217" s="30">
        <v>331.2</v>
      </c>
      <c r="G217" s="27">
        <v>25639.1</v>
      </c>
      <c r="H217" s="30">
        <v>13489.4</v>
      </c>
      <c r="I217" s="30">
        <f t="shared" ref="I217" si="58">SUM(B217:H217)</f>
        <v>91056.4</v>
      </c>
      <c r="J217" s="65"/>
      <c r="K217" s="57"/>
      <c r="L217" s="57"/>
      <c r="M217" s="54"/>
      <c r="N217" s="53"/>
      <c r="O217" s="51"/>
    </row>
    <row r="218" spans="1:15" ht="15.75" hidden="1">
      <c r="A218" s="45" t="s">
        <v>194</v>
      </c>
      <c r="B218" s="30">
        <v>4559.6000000000004</v>
      </c>
      <c r="C218" s="23" t="s">
        <v>35</v>
      </c>
      <c r="D218" s="30">
        <v>18358.3</v>
      </c>
      <c r="E218" s="30">
        <v>29303.399999999998</v>
      </c>
      <c r="F218" s="30">
        <v>331.2</v>
      </c>
      <c r="G218" s="27">
        <v>25568.400000000001</v>
      </c>
      <c r="H218" s="30">
        <v>14373.099999999999</v>
      </c>
      <c r="I218" s="30">
        <f t="shared" ref="I218" si="59">SUM(B218:H218)</f>
        <v>92494</v>
      </c>
      <c r="J218" s="65"/>
      <c r="K218" s="57"/>
      <c r="L218" s="57"/>
      <c r="M218" s="54"/>
      <c r="N218" s="53"/>
      <c r="O218" s="51"/>
    </row>
    <row r="219" spans="1:15" ht="15.75" hidden="1">
      <c r="A219" s="28" t="s">
        <v>185</v>
      </c>
      <c r="B219" s="30">
        <v>4444.8</v>
      </c>
      <c r="C219" s="23" t="s">
        <v>35</v>
      </c>
      <c r="D219" s="30">
        <v>18358.3</v>
      </c>
      <c r="E219" s="30">
        <v>30183.400000000009</v>
      </c>
      <c r="F219" s="30">
        <v>331.2</v>
      </c>
      <c r="G219" s="27">
        <v>25595.199999999997</v>
      </c>
      <c r="H219" s="30">
        <v>15126.9</v>
      </c>
      <c r="I219" s="30">
        <f t="shared" ref="I219" si="60">SUM(B219:H219)</f>
        <v>94039.799999999988</v>
      </c>
      <c r="J219" s="65"/>
      <c r="K219" s="57"/>
      <c r="L219" s="57"/>
      <c r="M219" s="54"/>
      <c r="N219" s="53"/>
      <c r="O219" s="51"/>
    </row>
    <row r="220" spans="1:15" ht="15.75" hidden="1">
      <c r="A220" s="28" t="s">
        <v>186</v>
      </c>
      <c r="B220" s="30">
        <v>4444.8</v>
      </c>
      <c r="C220" s="23" t="s">
        <v>35</v>
      </c>
      <c r="D220" s="30">
        <v>18608.3</v>
      </c>
      <c r="E220" s="30">
        <v>31166.500000000004</v>
      </c>
      <c r="F220" s="30">
        <v>331.2</v>
      </c>
      <c r="G220" s="27">
        <v>25635.800000000003</v>
      </c>
      <c r="H220" s="30">
        <v>15759.9</v>
      </c>
      <c r="I220" s="30">
        <f t="shared" ref="I220" si="61">SUM(B220:H220)</f>
        <v>95946.5</v>
      </c>
      <c r="J220" s="65"/>
      <c r="K220" s="57"/>
      <c r="L220" s="57"/>
      <c r="M220" s="54"/>
      <c r="N220" s="53"/>
      <c r="O220" s="51"/>
    </row>
    <row r="221" spans="1:15" ht="15.75" hidden="1">
      <c r="A221" s="28" t="s">
        <v>187</v>
      </c>
      <c r="B221" s="30">
        <v>5344.8</v>
      </c>
      <c r="C221" s="4">
        <v>500</v>
      </c>
      <c r="D221" s="30">
        <v>18459.599999999999</v>
      </c>
      <c r="E221" s="30">
        <v>30961.5</v>
      </c>
      <c r="F221" s="30">
        <v>331.2</v>
      </c>
      <c r="G221" s="27">
        <v>26213.600000000002</v>
      </c>
      <c r="H221" s="30">
        <v>15856.800000000001</v>
      </c>
      <c r="I221" s="30">
        <f t="shared" ref="I221" si="62">SUM(B221:H221)</f>
        <v>97667.5</v>
      </c>
      <c r="J221" s="65"/>
      <c r="K221" s="57"/>
      <c r="L221" s="57"/>
      <c r="M221" s="54"/>
      <c r="N221" s="53"/>
      <c r="O221" s="51"/>
    </row>
    <row r="222" spans="1:15" ht="15.75" hidden="1">
      <c r="A222" s="28" t="s">
        <v>188</v>
      </c>
      <c r="B222" s="30">
        <v>5710.8</v>
      </c>
      <c r="C222" s="4">
        <v>1000</v>
      </c>
      <c r="D222" s="30">
        <v>18309.599999999999</v>
      </c>
      <c r="E222" s="30">
        <v>31654.800000000003</v>
      </c>
      <c r="F222" s="30">
        <v>331.2</v>
      </c>
      <c r="G222" s="27">
        <v>26644.799999999996</v>
      </c>
      <c r="H222" s="30">
        <v>16352.2</v>
      </c>
      <c r="I222" s="30">
        <f t="shared" ref="I222" si="63">SUM(B222:H222)</f>
        <v>100003.39999999998</v>
      </c>
      <c r="J222" s="65"/>
      <c r="K222" s="57"/>
      <c r="L222" s="57"/>
      <c r="M222" s="54"/>
      <c r="N222" s="53"/>
      <c r="O222" s="51"/>
    </row>
    <row r="223" spans="1:15" ht="15.75" hidden="1">
      <c r="A223" s="28" t="s">
        <v>189</v>
      </c>
      <c r="B223" s="30">
        <v>5732.2000000000007</v>
      </c>
      <c r="C223" s="4">
        <v>500</v>
      </c>
      <c r="D223" s="30">
        <v>18489.400000000001</v>
      </c>
      <c r="E223" s="30">
        <v>32440.199999999997</v>
      </c>
      <c r="F223" s="30">
        <v>331.2</v>
      </c>
      <c r="G223" s="27">
        <v>28003.899999999998</v>
      </c>
      <c r="H223" s="30">
        <v>16436.099999999999</v>
      </c>
      <c r="I223" s="30">
        <f t="shared" ref="I223" si="64">SUM(B223:H223)</f>
        <v>101933</v>
      </c>
      <c r="J223" s="65"/>
      <c r="K223" s="57"/>
      <c r="L223" s="57"/>
      <c r="M223" s="54"/>
      <c r="N223" s="53"/>
      <c r="O223" s="51"/>
    </row>
    <row r="224" spans="1:15" hidden="1">
      <c r="A224" s="45"/>
      <c r="B224" s="46"/>
      <c r="C224" s="4"/>
      <c r="D224" s="46"/>
      <c r="E224" s="46"/>
      <c r="F224" s="46"/>
      <c r="H224" s="46"/>
      <c r="I224" s="46"/>
      <c r="K224" s="57"/>
      <c r="L224" s="57"/>
      <c r="M224" s="54"/>
      <c r="N224" s="53"/>
      <c r="O224" s="51"/>
    </row>
    <row r="225" spans="1:15" ht="15.75" hidden="1">
      <c r="A225" s="28" t="s">
        <v>165</v>
      </c>
      <c r="B225" s="30">
        <v>5802</v>
      </c>
      <c r="C225" s="4">
        <v>500</v>
      </c>
      <c r="D225" s="30">
        <v>18416.3</v>
      </c>
      <c r="E225" s="30">
        <v>33815</v>
      </c>
      <c r="F225" s="30">
        <v>331.2</v>
      </c>
      <c r="G225" s="27">
        <v>28046.499999999996</v>
      </c>
      <c r="H225" s="30">
        <v>15590</v>
      </c>
      <c r="I225" s="30">
        <f t="shared" ref="I225" si="65">SUM(B225:H225)</f>
        <v>102501</v>
      </c>
      <c r="J225" s="65"/>
      <c r="K225" s="57"/>
      <c r="L225" s="57"/>
      <c r="M225" s="54"/>
      <c r="N225" s="53"/>
      <c r="O225" s="51"/>
    </row>
    <row r="226" spans="1:15" ht="15.75" hidden="1">
      <c r="A226" s="28" t="s">
        <v>193</v>
      </c>
      <c r="B226" s="30">
        <v>5802</v>
      </c>
      <c r="C226" s="4">
        <v>500</v>
      </c>
      <c r="D226" s="30">
        <v>18266.3</v>
      </c>
      <c r="E226" s="30">
        <v>33115.199999999997</v>
      </c>
      <c r="F226" s="30">
        <v>331.2</v>
      </c>
      <c r="G226" s="27">
        <v>28091.600000000002</v>
      </c>
      <c r="H226" s="30">
        <v>16003.2</v>
      </c>
      <c r="I226" s="30">
        <f t="shared" ref="I226" si="66">SUM(B226:H226)</f>
        <v>102109.5</v>
      </c>
      <c r="J226" s="65"/>
      <c r="K226" s="57"/>
      <c r="L226" s="57"/>
      <c r="M226" s="54"/>
      <c r="N226" s="53"/>
      <c r="O226" s="51"/>
    </row>
    <row r="227" spans="1:15" ht="15.75" hidden="1">
      <c r="A227" s="28" t="s">
        <v>155</v>
      </c>
      <c r="B227" s="30">
        <v>5302</v>
      </c>
      <c r="C227" s="4">
        <v>500</v>
      </c>
      <c r="D227" s="30">
        <v>18108.099999999999</v>
      </c>
      <c r="E227" s="30">
        <v>33868.5</v>
      </c>
      <c r="F227" s="30">
        <v>331.2</v>
      </c>
      <c r="G227" s="27">
        <v>27023.299999999996</v>
      </c>
      <c r="H227" s="30">
        <v>17755.800000000003</v>
      </c>
      <c r="I227" s="30">
        <f t="shared" ref="I227" si="67">SUM(B227:H227)</f>
        <v>102888.9</v>
      </c>
      <c r="J227" s="65"/>
      <c r="K227" s="57"/>
      <c r="L227" s="57"/>
      <c r="M227" s="54"/>
      <c r="N227" s="53"/>
      <c r="O227" s="51"/>
    </row>
    <row r="228" spans="1:15" ht="15.75" hidden="1">
      <c r="A228" s="28" t="s">
        <v>201</v>
      </c>
      <c r="B228" s="30">
        <v>5446.4</v>
      </c>
      <c r="C228" s="23" t="s">
        <v>35</v>
      </c>
      <c r="D228" s="30">
        <v>16173.099999999999</v>
      </c>
      <c r="E228" s="30">
        <v>36719.1</v>
      </c>
      <c r="F228" s="30">
        <v>331.2</v>
      </c>
      <c r="G228" s="27">
        <v>28692.199999999993</v>
      </c>
      <c r="H228" s="30">
        <v>18316.7</v>
      </c>
      <c r="I228" s="30">
        <f t="shared" ref="I228" si="68">SUM(B228:H228)</f>
        <v>105678.69999999998</v>
      </c>
      <c r="J228" s="65"/>
      <c r="K228" s="57"/>
      <c r="L228" s="57"/>
      <c r="M228" s="54"/>
      <c r="N228" s="53"/>
      <c r="O228" s="51"/>
    </row>
    <row r="229" spans="1:15" ht="18.75" hidden="1">
      <c r="A229" s="28" t="s">
        <v>202</v>
      </c>
      <c r="B229" s="30">
        <v>5528.1</v>
      </c>
      <c r="C229" s="23" t="s">
        <v>35</v>
      </c>
      <c r="D229" s="30">
        <v>16023.099999999999</v>
      </c>
      <c r="E229" s="30">
        <v>36777.299999999996</v>
      </c>
      <c r="F229" s="30">
        <v>331.2</v>
      </c>
      <c r="G229" s="27">
        <v>28536.299999999992</v>
      </c>
      <c r="H229" s="30">
        <v>19325.099999999999</v>
      </c>
      <c r="I229" s="30">
        <f t="shared" ref="I229" si="69">SUM(B229:H229)</f>
        <v>106521.09999999998</v>
      </c>
      <c r="J229" s="65"/>
      <c r="K229" s="62"/>
      <c r="L229" s="65"/>
      <c r="M229" s="67"/>
      <c r="N229" s="68"/>
    </row>
    <row r="230" spans="1:15" ht="18.75" hidden="1">
      <c r="A230" s="28" t="s">
        <v>204</v>
      </c>
      <c r="B230" s="30">
        <v>5446.4</v>
      </c>
      <c r="C230" s="23" t="s">
        <v>35</v>
      </c>
      <c r="D230" s="30">
        <v>15873.099999999999</v>
      </c>
      <c r="E230" s="30">
        <v>36962.1</v>
      </c>
      <c r="F230" s="30">
        <v>331.2</v>
      </c>
      <c r="G230" s="27">
        <v>29002.6</v>
      </c>
      <c r="H230" s="46">
        <v>19640.900000000001</v>
      </c>
      <c r="I230" s="30">
        <f t="shared" ref="I230" si="70">SUM(B230:H230)</f>
        <v>107256.29999999999</v>
      </c>
      <c r="K230" s="62"/>
      <c r="L230" s="65"/>
      <c r="M230" s="67"/>
      <c r="N230" s="68"/>
    </row>
    <row r="231" spans="1:15" ht="18.75">
      <c r="A231" s="28" t="s">
        <v>194</v>
      </c>
      <c r="B231" s="30">
        <v>5446.4</v>
      </c>
      <c r="C231" s="23" t="s">
        <v>35</v>
      </c>
      <c r="D231" s="30">
        <v>15873.099999999999</v>
      </c>
      <c r="E231" s="30">
        <v>37468.500000000007</v>
      </c>
      <c r="F231" s="30">
        <v>331.2</v>
      </c>
      <c r="G231" s="27">
        <v>29234.800000000003</v>
      </c>
      <c r="H231" s="46">
        <v>20515.300000000003</v>
      </c>
      <c r="I231" s="30">
        <f t="shared" ref="I231" si="71">SUM(B231:H231)</f>
        <v>108869.3</v>
      </c>
      <c r="K231" s="63"/>
      <c r="L231" s="65"/>
      <c r="M231" s="67"/>
      <c r="N231" s="68"/>
    </row>
    <row r="232" spans="1:15" ht="18.75">
      <c r="A232" s="28" t="s">
        <v>159</v>
      </c>
      <c r="B232" s="30">
        <v>5446.4</v>
      </c>
      <c r="C232" s="23" t="s">
        <v>35</v>
      </c>
      <c r="D232" s="30">
        <v>16073.099999999999</v>
      </c>
      <c r="E232" s="30">
        <v>37971.700000000004</v>
      </c>
      <c r="F232" s="30">
        <v>331.2</v>
      </c>
      <c r="G232" s="27">
        <v>30647.400000000005</v>
      </c>
      <c r="H232" s="46">
        <v>21099.300000000003</v>
      </c>
      <c r="I232" s="30">
        <f t="shared" ref="I232" si="72">SUM(B232:H232)</f>
        <v>111569.1</v>
      </c>
      <c r="K232" s="63"/>
      <c r="L232" s="65"/>
      <c r="M232" s="67"/>
      <c r="N232" s="68"/>
    </row>
    <row r="233" spans="1:15" ht="18.75">
      <c r="A233" s="28" t="s">
        <v>151</v>
      </c>
      <c r="B233" s="30">
        <v>5446.4</v>
      </c>
      <c r="C233" s="23" t="s">
        <v>35</v>
      </c>
      <c r="D233" s="30">
        <v>16259.899999999998</v>
      </c>
      <c r="E233" s="30">
        <v>37483.800000000003</v>
      </c>
      <c r="F233" s="30">
        <v>331.2</v>
      </c>
      <c r="G233" s="27">
        <v>31475.4</v>
      </c>
      <c r="H233" s="46">
        <v>21552.400000000001</v>
      </c>
      <c r="I233" s="30">
        <f t="shared" ref="I233" si="73">SUM(B233:H233)</f>
        <v>112549.1</v>
      </c>
      <c r="K233" s="63"/>
      <c r="L233" s="65"/>
      <c r="M233" s="67"/>
      <c r="N233" s="68"/>
    </row>
    <row r="234" spans="1:15" ht="18.75">
      <c r="A234" s="28" t="s">
        <v>160</v>
      </c>
      <c r="B234" s="30">
        <v>5446.4</v>
      </c>
      <c r="C234" s="23" t="s">
        <v>35</v>
      </c>
      <c r="D234" s="30">
        <v>16035.599999999999</v>
      </c>
      <c r="E234" s="30">
        <v>37400.80000000001</v>
      </c>
      <c r="F234" s="30">
        <v>331.2</v>
      </c>
      <c r="G234" s="27">
        <v>31767.3</v>
      </c>
      <c r="H234" s="46">
        <v>22510</v>
      </c>
      <c r="I234" s="30">
        <f t="shared" ref="I234" si="74">SUM(B234:H234)</f>
        <v>113491.3</v>
      </c>
      <c r="K234" s="62"/>
      <c r="L234" s="65"/>
      <c r="M234" s="67"/>
      <c r="N234" s="68"/>
    </row>
    <row r="235" spans="1:15" ht="18.75">
      <c r="A235" s="28" t="s">
        <v>57</v>
      </c>
      <c r="B235" s="30">
        <v>4651.6000000000004</v>
      </c>
      <c r="C235" s="23" t="s">
        <v>35</v>
      </c>
      <c r="D235" s="30">
        <v>7910.3</v>
      </c>
      <c r="E235" s="30">
        <v>50423.7</v>
      </c>
      <c r="F235" s="30">
        <v>331.2</v>
      </c>
      <c r="G235" s="27">
        <v>35668.400000000001</v>
      </c>
      <c r="H235" s="46">
        <v>18347.2</v>
      </c>
      <c r="I235" s="30">
        <f t="shared" ref="I235" si="75">SUM(B235:H235)</f>
        <v>117332.4</v>
      </c>
      <c r="K235" s="64"/>
      <c r="L235" s="65"/>
      <c r="M235" s="67"/>
      <c r="N235" s="68"/>
    </row>
    <row r="236" spans="1:15" ht="18.75">
      <c r="A236" s="28" t="s">
        <v>152</v>
      </c>
      <c r="B236" s="30">
        <v>4680.2</v>
      </c>
      <c r="C236" s="23" t="s">
        <v>35</v>
      </c>
      <c r="D236" s="30">
        <v>12527.599999999999</v>
      </c>
      <c r="E236" s="30">
        <v>48125.500000000015</v>
      </c>
      <c r="F236" s="30">
        <v>331.2</v>
      </c>
      <c r="G236" s="27">
        <v>36204.5</v>
      </c>
      <c r="H236" s="46">
        <v>17593</v>
      </c>
      <c r="I236" s="30">
        <f t="shared" ref="I236" si="76">SUM(B236:H236)</f>
        <v>119462.00000000001</v>
      </c>
      <c r="K236" s="62"/>
      <c r="L236" s="65"/>
      <c r="M236" s="67"/>
      <c r="N236" s="68"/>
    </row>
    <row r="237" spans="1:15" ht="15.75">
      <c r="A237" s="45"/>
      <c r="B237" s="46"/>
      <c r="C237" s="4"/>
      <c r="D237" s="46"/>
      <c r="E237" s="46"/>
      <c r="F237" s="46"/>
      <c r="H237" s="46"/>
      <c r="I237" s="46"/>
      <c r="M237" s="67"/>
      <c r="N237" s="68"/>
    </row>
    <row r="238" spans="1:15" ht="18.75">
      <c r="A238" s="28" t="s">
        <v>176</v>
      </c>
      <c r="B238" s="30">
        <v>4212.5999999999995</v>
      </c>
      <c r="C238" s="23" t="s">
        <v>35</v>
      </c>
      <c r="D238" s="30">
        <v>12555</v>
      </c>
      <c r="E238" s="30">
        <v>47784.800000000003</v>
      </c>
      <c r="F238" s="30">
        <v>331.2</v>
      </c>
      <c r="G238" s="27">
        <v>35837.300000000003</v>
      </c>
      <c r="H238" s="46">
        <v>19364.599999999999</v>
      </c>
      <c r="I238" s="30">
        <f t="shared" ref="I238" si="77">SUM(B238:H238)</f>
        <v>120085.5</v>
      </c>
      <c r="K238" s="62"/>
      <c r="L238" s="65"/>
      <c r="M238" s="67"/>
      <c r="N238" s="68"/>
    </row>
    <row r="239" spans="1:15" ht="18.75">
      <c r="A239" s="28" t="s">
        <v>163</v>
      </c>
      <c r="B239" s="30">
        <v>4178.6000000000004</v>
      </c>
      <c r="C239" s="23" t="s">
        <v>35</v>
      </c>
      <c r="D239" s="30">
        <v>12619.5</v>
      </c>
      <c r="E239" s="30">
        <v>49361.100000000006</v>
      </c>
      <c r="F239" s="30">
        <v>331.2</v>
      </c>
      <c r="G239" s="27">
        <v>35978.5</v>
      </c>
      <c r="H239" s="46">
        <v>21074.100000000002</v>
      </c>
      <c r="I239" s="30">
        <f>SUM(B239:H239)</f>
        <v>123543.00000000001</v>
      </c>
      <c r="K239" s="62"/>
      <c r="L239" s="65"/>
      <c r="M239" s="67"/>
      <c r="N239" s="68"/>
    </row>
    <row r="240" spans="1:15" ht="18.75">
      <c r="A240" s="28" t="s">
        <v>164</v>
      </c>
      <c r="B240" s="30">
        <v>4205.0999999999995</v>
      </c>
      <c r="C240" s="23" t="s">
        <v>35</v>
      </c>
      <c r="D240" s="30">
        <v>12645.4</v>
      </c>
      <c r="E240" s="30">
        <v>51896.3</v>
      </c>
      <c r="F240" s="30">
        <v>331.2</v>
      </c>
      <c r="G240" s="27">
        <v>35358.9</v>
      </c>
      <c r="H240" s="46">
        <v>22434.2</v>
      </c>
      <c r="I240" s="30">
        <f t="shared" ref="I240:I241" si="78">SUM(B240:H240)</f>
        <v>126871.09999999999</v>
      </c>
      <c r="K240" s="62"/>
      <c r="L240" s="65"/>
      <c r="M240" s="67"/>
      <c r="N240" s="68"/>
    </row>
    <row r="241" spans="1:15" ht="18.75">
      <c r="A241" s="45" t="s">
        <v>156</v>
      </c>
      <c r="B241" s="46">
        <v>4230.9000000000005</v>
      </c>
      <c r="C241" s="23" t="s">
        <v>35</v>
      </c>
      <c r="D241" s="46">
        <v>12694.8</v>
      </c>
      <c r="E241" s="46">
        <v>51979.80000000001</v>
      </c>
      <c r="F241" s="46">
        <v>331.2</v>
      </c>
      <c r="G241" s="27">
        <v>35621</v>
      </c>
      <c r="H241" s="46">
        <v>22714.3</v>
      </c>
      <c r="I241" s="46">
        <f t="shared" si="78"/>
        <v>127572.00000000001</v>
      </c>
      <c r="K241" s="62"/>
      <c r="L241" s="65"/>
      <c r="M241" s="67"/>
      <c r="N241" s="68"/>
    </row>
    <row r="242" spans="1:15" ht="18.75">
      <c r="A242" s="45" t="s">
        <v>157</v>
      </c>
      <c r="B242" s="46">
        <v>3803.8</v>
      </c>
      <c r="C242" s="23" t="s">
        <v>35</v>
      </c>
      <c r="D242" s="46">
        <v>12057.2</v>
      </c>
      <c r="E242" s="46">
        <v>52759.6</v>
      </c>
      <c r="F242" s="46">
        <v>331.2</v>
      </c>
      <c r="G242" s="27">
        <v>36654.399999999994</v>
      </c>
      <c r="H242" s="46">
        <v>22679.899999999998</v>
      </c>
      <c r="I242" s="46">
        <f t="shared" ref="I242:I249" si="79">SUM(B242:H242)</f>
        <v>128286.09999999999</v>
      </c>
      <c r="K242" s="62"/>
      <c r="L242" s="66"/>
      <c r="M242" s="67"/>
      <c r="N242" s="68"/>
    </row>
    <row r="243" spans="1:15" ht="18.75">
      <c r="A243" s="45" t="s">
        <v>150</v>
      </c>
      <c r="B243" s="46">
        <v>3879.1</v>
      </c>
      <c r="C243" s="4">
        <v>301.60000000000014</v>
      </c>
      <c r="D243" s="46">
        <v>11194.099999999999</v>
      </c>
      <c r="E243" s="46">
        <v>52988.900000000009</v>
      </c>
      <c r="F243" s="46">
        <v>331.2</v>
      </c>
      <c r="G243" s="27">
        <v>36951.699999999997</v>
      </c>
      <c r="H243" s="46">
        <v>21983.199999999997</v>
      </c>
      <c r="I243" s="46">
        <f t="shared" si="79"/>
        <v>127629.8</v>
      </c>
      <c r="K243" s="62"/>
      <c r="L243" s="66"/>
      <c r="M243" s="67"/>
      <c r="N243" s="68"/>
    </row>
    <row r="244" spans="1:15" ht="18.75">
      <c r="A244" s="45" t="s">
        <v>158</v>
      </c>
      <c r="B244" s="46">
        <v>3905.7999999999997</v>
      </c>
      <c r="C244" s="4">
        <v>304.19999999999982</v>
      </c>
      <c r="D244" s="46">
        <v>26244.699999999997</v>
      </c>
      <c r="E244" s="46">
        <v>40024.800000000003</v>
      </c>
      <c r="F244" s="46">
        <v>331.2</v>
      </c>
      <c r="G244" s="27">
        <v>37628</v>
      </c>
      <c r="H244" s="46">
        <v>22040.899999999998</v>
      </c>
      <c r="I244" s="46">
        <f t="shared" si="79"/>
        <v>130479.59999999999</v>
      </c>
      <c r="K244" s="62"/>
      <c r="L244" s="66"/>
      <c r="M244" s="67"/>
      <c r="N244" s="68"/>
    </row>
    <row r="245" spans="1:15" ht="18.75">
      <c r="A245" s="45" t="s">
        <v>159</v>
      </c>
      <c r="B245" s="46">
        <v>3884.5</v>
      </c>
      <c r="C245" s="4">
        <v>306.79999999999995</v>
      </c>
      <c r="D245" s="46">
        <v>26275.300000000003</v>
      </c>
      <c r="E245" s="46">
        <v>40470.6</v>
      </c>
      <c r="F245" s="46">
        <v>331.2</v>
      </c>
      <c r="G245" s="27">
        <v>37497.699999999997</v>
      </c>
      <c r="H245" s="46">
        <v>24071.100000000002</v>
      </c>
      <c r="I245" s="46">
        <f t="shared" si="79"/>
        <v>132837.19999999998</v>
      </c>
      <c r="K245" s="62"/>
      <c r="L245" s="66"/>
      <c r="M245" s="67"/>
      <c r="N245" s="68"/>
    </row>
    <row r="246" spans="1:15" ht="18.75">
      <c r="A246" s="45" t="s">
        <v>151</v>
      </c>
      <c r="B246" s="46">
        <v>3910.7</v>
      </c>
      <c r="C246" s="4">
        <v>301.60000000000014</v>
      </c>
      <c r="D246" s="46">
        <v>27794.5</v>
      </c>
      <c r="E246" s="46">
        <v>31767.499999999996</v>
      </c>
      <c r="F246" s="46">
        <v>331.2</v>
      </c>
      <c r="G246" s="27">
        <v>38060</v>
      </c>
      <c r="H246" s="46">
        <v>32098.2</v>
      </c>
      <c r="I246" s="46">
        <f t="shared" si="79"/>
        <v>134263.70000000001</v>
      </c>
      <c r="K246" s="62"/>
      <c r="L246" s="66"/>
      <c r="M246" s="67"/>
      <c r="N246" s="68"/>
    </row>
    <row r="247" spans="1:15" ht="18.75">
      <c r="A247" s="45" t="s">
        <v>160</v>
      </c>
      <c r="B247" s="46">
        <v>5166.7</v>
      </c>
      <c r="C247" s="4">
        <v>304.20000000000005</v>
      </c>
      <c r="D247" s="46">
        <v>14372.3</v>
      </c>
      <c r="E247" s="46">
        <v>44808.5</v>
      </c>
      <c r="F247" s="46">
        <v>331.2</v>
      </c>
      <c r="G247" s="27">
        <v>38644.799999999996</v>
      </c>
      <c r="H247" s="46">
        <v>32220.2</v>
      </c>
      <c r="I247" s="46">
        <f t="shared" si="79"/>
        <v>135847.9</v>
      </c>
      <c r="K247" s="62"/>
      <c r="L247" s="66"/>
      <c r="M247" s="67"/>
      <c r="N247" s="68"/>
    </row>
    <row r="248" spans="1:15" ht="18.75">
      <c r="A248" s="45" t="s">
        <v>57</v>
      </c>
      <c r="B248" s="46">
        <v>5143.1000000000004</v>
      </c>
      <c r="C248" s="4">
        <v>306.69999999999982</v>
      </c>
      <c r="D248" s="46">
        <v>14442.300000000001</v>
      </c>
      <c r="E248" s="46">
        <v>45407.5</v>
      </c>
      <c r="F248" s="46">
        <v>331.2</v>
      </c>
      <c r="G248" s="27">
        <v>38751.300000000003</v>
      </c>
      <c r="H248" s="46">
        <v>32872.1</v>
      </c>
      <c r="I248" s="46">
        <f t="shared" si="79"/>
        <v>137254.20000000001</v>
      </c>
      <c r="K248" s="62"/>
      <c r="L248" s="66"/>
      <c r="M248" s="67"/>
      <c r="N248" s="68"/>
    </row>
    <row r="249" spans="1:15" ht="18.75">
      <c r="A249" s="45" t="s">
        <v>152</v>
      </c>
      <c r="B249" s="46">
        <v>5477.9</v>
      </c>
      <c r="C249" s="4">
        <v>301.79999999999995</v>
      </c>
      <c r="D249" s="46">
        <v>13744.4</v>
      </c>
      <c r="E249" s="46">
        <v>45799.7</v>
      </c>
      <c r="F249" s="46">
        <v>331.2</v>
      </c>
      <c r="G249" s="27">
        <v>38358</v>
      </c>
      <c r="H249" s="46">
        <v>34192.799999999996</v>
      </c>
      <c r="I249" s="46">
        <f t="shared" si="79"/>
        <v>138205.79999999999</v>
      </c>
      <c r="K249" s="62"/>
      <c r="L249" s="66"/>
      <c r="M249" s="67"/>
      <c r="N249" s="68"/>
    </row>
    <row r="250" spans="1:15" ht="15.75">
      <c r="A250" s="45"/>
      <c r="B250" s="46"/>
      <c r="C250" s="4"/>
      <c r="D250" s="46"/>
      <c r="E250" s="46"/>
      <c r="F250" s="46"/>
      <c r="H250" s="46"/>
      <c r="I250" s="46"/>
      <c r="M250" s="67"/>
      <c r="N250" s="68"/>
    </row>
    <row r="251" spans="1:15" ht="18.75">
      <c r="A251" s="45" t="s">
        <v>192</v>
      </c>
      <c r="B251" s="46">
        <v>4223.5</v>
      </c>
      <c r="C251" s="4">
        <v>304.29999999999995</v>
      </c>
      <c r="D251" s="46">
        <v>15068.3</v>
      </c>
      <c r="E251" s="46">
        <v>46123.8</v>
      </c>
      <c r="F251" s="46">
        <v>331.2</v>
      </c>
      <c r="G251" s="27">
        <v>38240.600000000006</v>
      </c>
      <c r="H251" s="46">
        <v>34309.699999999997</v>
      </c>
      <c r="I251" s="46">
        <f t="shared" ref="I251" si="80">SUM(B251:H251)</f>
        <v>138601.4</v>
      </c>
      <c r="K251" s="62"/>
      <c r="L251" s="66"/>
      <c r="M251" s="67"/>
      <c r="N251" s="68"/>
    </row>
    <row r="252" spans="1:15" ht="18.75">
      <c r="A252" s="45" t="s">
        <v>163</v>
      </c>
      <c r="B252" s="46">
        <v>4201.3</v>
      </c>
      <c r="C252" s="4">
        <v>306.5</v>
      </c>
      <c r="D252" s="46">
        <v>14114.900000000001</v>
      </c>
      <c r="E252" s="46">
        <v>47038.099999999991</v>
      </c>
      <c r="F252" s="46">
        <v>331.2</v>
      </c>
      <c r="G252" s="27">
        <v>38310.9</v>
      </c>
      <c r="H252" s="46">
        <v>32295</v>
      </c>
      <c r="I252" s="46">
        <f t="shared" ref="I252" si="81">SUM(B252:H252)</f>
        <v>136597.9</v>
      </c>
      <c r="K252" s="62"/>
      <c r="L252" s="66"/>
      <c r="M252" s="67"/>
      <c r="N252" s="68"/>
    </row>
    <row r="253" spans="1:15" ht="18.75">
      <c r="A253" s="45" t="s">
        <v>164</v>
      </c>
      <c r="B253" s="46">
        <v>4213.8</v>
      </c>
      <c r="C253" s="4">
        <v>301.7</v>
      </c>
      <c r="D253" s="46">
        <v>14102.3</v>
      </c>
      <c r="E253" s="46">
        <v>48881.9</v>
      </c>
      <c r="F253" s="46">
        <v>331.2</v>
      </c>
      <c r="G253" s="27">
        <v>37732.800000000003</v>
      </c>
      <c r="H253" s="46">
        <v>33037.9</v>
      </c>
      <c r="I253" s="46">
        <f>SUM(B253:H253)</f>
        <v>138601.60000000001</v>
      </c>
      <c r="K253" s="62"/>
      <c r="L253" s="66"/>
      <c r="M253" s="67"/>
      <c r="N253" s="68"/>
    </row>
    <row r="254" spans="1:15" ht="18.75">
      <c r="A254" s="45" t="s">
        <v>156</v>
      </c>
      <c r="B254" s="46">
        <f>1847.7+2383.4</f>
        <v>4231.1000000000004</v>
      </c>
      <c r="C254" s="4">
        <v>304.2</v>
      </c>
      <c r="D254" s="46">
        <f>10048.3+4770.5</f>
        <v>14818.8</v>
      </c>
      <c r="E254" s="46">
        <f>47954.1+1937.3</f>
        <v>49891.4</v>
      </c>
      <c r="F254" s="46">
        <v>331.2</v>
      </c>
      <c r="G254" s="27">
        <f>19611.4+24740.6+319.6+680.2+12044-12044-7522.3</f>
        <v>37829.499999999993</v>
      </c>
      <c r="H254" s="46">
        <f>1517.9+11288.8+12044+7522.3</f>
        <v>32372.999999999996</v>
      </c>
      <c r="I254" s="46">
        <f>SUM(B254:H254)</f>
        <v>139779.19999999998</v>
      </c>
      <c r="K254" s="62"/>
      <c r="L254" s="66"/>
      <c r="M254" s="67"/>
      <c r="N254" s="53"/>
      <c r="O254" s="51"/>
    </row>
    <row r="255" spans="1:15" ht="18.75">
      <c r="A255" s="45" t="s">
        <v>157</v>
      </c>
      <c r="B255" s="46">
        <f>2017.1+2363.3</f>
        <v>4380.3999999999996</v>
      </c>
      <c r="C255" s="4">
        <v>306.7</v>
      </c>
      <c r="D255" s="46">
        <f>10076.3+4801.2</f>
        <v>14877.5</v>
      </c>
      <c r="E255" s="46">
        <f>49057.3+1865.1</f>
        <v>50922.400000000001</v>
      </c>
      <c r="F255" s="46">
        <f>331.2+1379.9</f>
        <v>1711.1000000000001</v>
      </c>
      <c r="G255" s="27">
        <f>25085.1-7743.7-118.5+19611.5+552.5</f>
        <v>37386.899999999994</v>
      </c>
      <c r="H255" s="46">
        <f>7743.7+11755.8+12500.4+1423.4</f>
        <v>33423.300000000003</v>
      </c>
      <c r="I255" s="46">
        <f>SUM(B255:H255)</f>
        <v>143008.29999999999</v>
      </c>
      <c r="K255" s="62"/>
      <c r="L255" s="66"/>
      <c r="M255" s="67"/>
      <c r="N255" s="53"/>
      <c r="O255" s="51"/>
    </row>
    <row r="256" spans="1:15" ht="18.75">
      <c r="A256" s="45" t="s">
        <v>150</v>
      </c>
      <c r="B256" s="46">
        <f>2024.8+2457.3</f>
        <v>4482.1000000000004</v>
      </c>
      <c r="C256" s="4">
        <v>1003</v>
      </c>
      <c r="D256" s="46">
        <f>10111+3239.1</f>
        <v>13350.1</v>
      </c>
      <c r="E256" s="46">
        <f>49981.1+1855.5</f>
        <v>51836.6</v>
      </c>
      <c r="F256" s="46">
        <f>331.2+1810</f>
        <v>2141.1999999999998</v>
      </c>
      <c r="G256" s="27">
        <f>25296.3-7949.8-21.6+19611.6+816.5</f>
        <v>37753</v>
      </c>
      <c r="H256" s="46">
        <f>7949.8+11799+12423.2+1720.9</f>
        <v>33892.9</v>
      </c>
      <c r="I256" s="46">
        <f>SUM(B256:H256)</f>
        <v>144458.9</v>
      </c>
      <c r="K256" s="62"/>
      <c r="L256" s="66"/>
      <c r="M256" s="67"/>
      <c r="N256" s="53"/>
      <c r="O256" s="51"/>
    </row>
    <row r="257" spans="1:15" ht="18.75">
      <c r="A257" s="45" t="s">
        <v>158</v>
      </c>
      <c r="B257" s="46">
        <f>2114.3+2471.7</f>
        <v>4586</v>
      </c>
      <c r="C257" s="4">
        <v>1011.5</v>
      </c>
      <c r="D257" s="46">
        <f>10147.4+3270.4</f>
        <v>13417.8</v>
      </c>
      <c r="E257" s="46">
        <f>51100.1+1869.3</f>
        <v>52969.4</v>
      </c>
      <c r="F257" s="46">
        <f>331.2+1822.1</f>
        <v>2153.2999999999997</v>
      </c>
      <c r="G257" s="27">
        <f>25418.2-8063.3+156.9+19611.6+973.5</f>
        <v>38096.9</v>
      </c>
      <c r="H257" s="46">
        <f>8063.3+11547.9+12581.1+1752.3</f>
        <v>33944.600000000006</v>
      </c>
      <c r="I257" s="46">
        <f>SUM(B257:H257)</f>
        <v>146179.5</v>
      </c>
      <c r="K257" s="62"/>
      <c r="L257" s="66"/>
      <c r="M257" s="67"/>
      <c r="N257" s="53"/>
      <c r="O257" s="51"/>
    </row>
    <row r="258" spans="1:15">
      <c r="A258" s="45"/>
      <c r="B258" s="25"/>
      <c r="C258" s="13"/>
      <c r="D258" s="25"/>
      <c r="E258" s="25"/>
      <c r="F258" s="25"/>
      <c r="G258" s="13"/>
      <c r="H258" s="25"/>
      <c r="I258" s="26"/>
      <c r="J258" s="27"/>
      <c r="N258" s="27"/>
    </row>
    <row r="259" spans="1:15" hidden="1">
      <c r="A259" s="33" t="s">
        <v>16</v>
      </c>
      <c r="B259" s="34"/>
      <c r="C259" s="34"/>
      <c r="D259" s="34"/>
      <c r="E259" s="34"/>
      <c r="F259" s="34"/>
      <c r="G259" s="34"/>
      <c r="H259" s="34"/>
      <c r="I259" s="35"/>
    </row>
    <row r="260" spans="1:15" hidden="1">
      <c r="A260" s="36"/>
      <c r="B260" s="9"/>
      <c r="C260" s="9"/>
      <c r="D260" s="9"/>
      <c r="E260" s="9"/>
      <c r="F260" s="9"/>
      <c r="G260" s="9"/>
      <c r="H260" s="9"/>
      <c r="I260" s="37"/>
    </row>
    <row r="261" spans="1:15">
      <c r="A261" s="1"/>
      <c r="B261" s="2"/>
      <c r="C261" s="2"/>
      <c r="D261" s="2"/>
      <c r="E261" s="2"/>
      <c r="F261" s="2"/>
      <c r="G261" s="2"/>
      <c r="H261" s="2"/>
      <c r="I261" s="3"/>
    </row>
    <row r="262" spans="1:15">
      <c r="A262" s="49" t="s">
        <v>191</v>
      </c>
      <c r="B262" s="43"/>
      <c r="C262" s="43"/>
      <c r="D262" s="43"/>
      <c r="E262" s="43"/>
      <c r="F262" s="43"/>
      <c r="G262" s="43"/>
      <c r="H262" s="43"/>
      <c r="I262" s="44"/>
    </row>
    <row r="263" spans="1:15">
      <c r="A263" s="40"/>
    </row>
    <row r="264" spans="1:15">
      <c r="A264" s="41"/>
      <c r="B264" s="29"/>
      <c r="C264" s="29"/>
      <c r="D264" s="29"/>
      <c r="E264" s="29"/>
      <c r="F264" s="29"/>
      <c r="G264" s="29"/>
      <c r="H264" s="29"/>
      <c r="I264" s="42"/>
    </row>
    <row r="272" spans="1:15">
      <c r="I272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1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39"/>
  <sheetViews>
    <sheetView topLeftCell="BU25" workbookViewId="0">
      <selection activeCell="B39" sqref="B39:BY39"/>
    </sheetView>
  </sheetViews>
  <sheetFormatPr baseColWidth="10" defaultColWidth="8.88671875" defaultRowHeight="15.75"/>
  <sheetData>
    <row r="3" spans="2:77">
      <c r="B3">
        <v>1740.4</v>
      </c>
      <c r="C3">
        <v>2150</v>
      </c>
      <c r="D3">
        <v>2650.1</v>
      </c>
      <c r="E3">
        <v>2650.1</v>
      </c>
      <c r="F3">
        <v>2650.1</v>
      </c>
      <c r="G3">
        <v>2650.1</v>
      </c>
      <c r="H3">
        <v>2650.1</v>
      </c>
      <c r="I3">
        <v>2650.1</v>
      </c>
      <c r="J3">
        <v>2605.1</v>
      </c>
      <c r="K3">
        <v>2605.1</v>
      </c>
      <c r="L3">
        <v>2705.2</v>
      </c>
      <c r="M3">
        <v>2305.1</v>
      </c>
      <c r="N3">
        <v>2305.1999999999998</v>
      </c>
      <c r="O3">
        <v>2315.8000000000002</v>
      </c>
      <c r="P3">
        <v>2315.8000000000002</v>
      </c>
      <c r="Q3">
        <v>2315.8000000000002</v>
      </c>
      <c r="R3">
        <v>2315.8000000000002</v>
      </c>
      <c r="S3">
        <v>2315.8000000000002</v>
      </c>
      <c r="T3">
        <v>1815.8000000000002</v>
      </c>
      <c r="U3">
        <v>1815.8000000000002</v>
      </c>
      <c r="V3">
        <v>1815.8000000000002</v>
      </c>
      <c r="W3">
        <v>1815.8000000000002</v>
      </c>
      <c r="X3">
        <v>1815.8000000000002</v>
      </c>
      <c r="Y3">
        <v>1834.8000000000002</v>
      </c>
      <c r="Z3">
        <v>1845.8000000000002</v>
      </c>
      <c r="AA3">
        <v>1873</v>
      </c>
      <c r="AB3">
        <v>1873.7</v>
      </c>
      <c r="AC3">
        <v>1901.7</v>
      </c>
      <c r="AD3">
        <v>1901.7</v>
      </c>
      <c r="AE3">
        <v>1901.7</v>
      </c>
      <c r="AF3">
        <v>1701.7</v>
      </c>
      <c r="AG3">
        <v>1501.6999999999998</v>
      </c>
      <c r="AH3">
        <v>1501.6999999999998</v>
      </c>
      <c r="AI3">
        <v>1501.6999999999998</v>
      </c>
      <c r="AJ3">
        <v>1501.6999999999998</v>
      </c>
      <c r="AK3">
        <v>1520.1999999999998</v>
      </c>
      <c r="AL3">
        <v>1520.1999999999998</v>
      </c>
      <c r="AM3">
        <v>1547.9</v>
      </c>
      <c r="AN3">
        <v>1728.4</v>
      </c>
      <c r="AO3">
        <v>1728.4</v>
      </c>
      <c r="AP3">
        <v>1726.4</v>
      </c>
      <c r="AQ3">
        <v>1526.4</v>
      </c>
      <c r="AR3">
        <v>1526.4</v>
      </c>
      <c r="AS3">
        <v>1523.8</v>
      </c>
      <c r="AT3">
        <v>1323.8</v>
      </c>
      <c r="AU3">
        <v>1323.8</v>
      </c>
      <c r="AV3">
        <v>2223.8000000000002</v>
      </c>
      <c r="AW3">
        <v>2589.8000000000002</v>
      </c>
      <c r="AX3">
        <v>2589.8000000000002</v>
      </c>
      <c r="AY3">
        <v>2659.6</v>
      </c>
      <c r="AZ3">
        <v>2659.6</v>
      </c>
      <c r="BA3">
        <v>2159.6</v>
      </c>
      <c r="BB3">
        <v>2304</v>
      </c>
      <c r="BC3">
        <v>2385.6999999999998</v>
      </c>
      <c r="BD3">
        <v>2304</v>
      </c>
      <c r="BE3">
        <v>2304</v>
      </c>
      <c r="BF3">
        <v>2304</v>
      </c>
      <c r="BG3">
        <v>2304</v>
      </c>
      <c r="BH3">
        <v>2304</v>
      </c>
      <c r="BI3">
        <v>1417.2</v>
      </c>
      <c r="BJ3">
        <v>1419.5</v>
      </c>
      <c r="BK3">
        <v>926.4</v>
      </c>
      <c r="BL3">
        <v>921</v>
      </c>
      <c r="BM3">
        <v>921.9</v>
      </c>
      <c r="BN3">
        <v>922.8</v>
      </c>
      <c r="BO3">
        <v>624.79999999999995</v>
      </c>
      <c r="BP3">
        <v>622.5</v>
      </c>
      <c r="BQ3">
        <v>624.1</v>
      </c>
      <c r="BR3">
        <v>625.5</v>
      </c>
      <c r="BS3">
        <v>626.79999999999995</v>
      </c>
      <c r="BT3">
        <v>1857.3</v>
      </c>
      <c r="BU3">
        <v>1859.4</v>
      </c>
      <c r="BV3">
        <v>2170</v>
      </c>
      <c r="BW3">
        <v>1846.4</v>
      </c>
      <c r="BX3">
        <v>1844.8</v>
      </c>
      <c r="BY3">
        <v>1842.4</v>
      </c>
    </row>
    <row r="4" spans="2:77">
      <c r="B4">
        <v>438.6</v>
      </c>
      <c r="C4">
        <v>433.8</v>
      </c>
      <c r="D4">
        <v>433.8</v>
      </c>
      <c r="E4">
        <v>428.8</v>
      </c>
      <c r="F4">
        <v>423.8</v>
      </c>
      <c r="G4">
        <v>418.8</v>
      </c>
      <c r="H4">
        <v>413.6</v>
      </c>
      <c r="I4">
        <v>556.69999999999993</v>
      </c>
      <c r="J4">
        <v>551.4</v>
      </c>
      <c r="K4">
        <v>383.59999999999997</v>
      </c>
      <c r="L4">
        <v>378.2</v>
      </c>
      <c r="M4">
        <v>372.7</v>
      </c>
      <c r="N4">
        <v>384.9</v>
      </c>
      <c r="O4">
        <v>384.9</v>
      </c>
      <c r="P4">
        <v>379.2</v>
      </c>
      <c r="Q4">
        <v>379.2</v>
      </c>
      <c r="R4">
        <v>379.2</v>
      </c>
      <c r="S4">
        <v>379.2</v>
      </c>
      <c r="T4">
        <v>559.30000000000007</v>
      </c>
      <c r="U4">
        <v>559.20000000000005</v>
      </c>
      <c r="V4">
        <v>589.20000000000005</v>
      </c>
      <c r="W4">
        <v>589.20000000000005</v>
      </c>
      <c r="X4">
        <v>679.2</v>
      </c>
      <c r="Y4">
        <v>679.2</v>
      </c>
      <c r="Z4">
        <v>722.6</v>
      </c>
      <c r="AA4">
        <v>722.6</v>
      </c>
      <c r="AB4">
        <v>722.6</v>
      </c>
      <c r="AC4">
        <v>722.6</v>
      </c>
      <c r="AD4">
        <v>902.59999999999991</v>
      </c>
      <c r="AE4">
        <v>902.59999999999991</v>
      </c>
      <c r="AF4">
        <v>902.59999999999991</v>
      </c>
      <c r="AG4">
        <v>902.59999999999991</v>
      </c>
      <c r="AH4">
        <v>902.59999999999991</v>
      </c>
      <c r="AI4">
        <v>902.59999999999991</v>
      </c>
      <c r="AJ4">
        <v>851.59999999999991</v>
      </c>
      <c r="AK4">
        <v>851.59999999999991</v>
      </c>
      <c r="AL4">
        <v>910.6</v>
      </c>
      <c r="AM4">
        <v>910.6</v>
      </c>
      <c r="AN4">
        <v>2825.4</v>
      </c>
      <c r="AO4">
        <v>2825.4</v>
      </c>
      <c r="AP4">
        <v>2825.4</v>
      </c>
      <c r="AQ4">
        <v>3035.8</v>
      </c>
      <c r="AR4">
        <v>3035.8</v>
      </c>
      <c r="AS4">
        <v>3035.8</v>
      </c>
      <c r="AT4">
        <v>3121</v>
      </c>
      <c r="AU4">
        <v>3121</v>
      </c>
      <c r="AV4">
        <v>3121</v>
      </c>
      <c r="AW4">
        <v>3121</v>
      </c>
      <c r="AX4">
        <v>3142.4</v>
      </c>
      <c r="AY4">
        <v>3142.4</v>
      </c>
      <c r="AZ4">
        <v>3142.4</v>
      </c>
      <c r="BA4">
        <v>3142.4</v>
      </c>
      <c r="BB4">
        <v>3142.4</v>
      </c>
      <c r="BC4">
        <v>3142.4</v>
      </c>
      <c r="BD4">
        <v>3142.4</v>
      </c>
      <c r="BE4">
        <v>3142.4</v>
      </c>
      <c r="BF4">
        <v>3142.4</v>
      </c>
      <c r="BG4">
        <v>3142.4</v>
      </c>
      <c r="BH4">
        <v>3142.4</v>
      </c>
      <c r="BI4">
        <v>3234.4</v>
      </c>
      <c r="BJ4">
        <v>3260.7</v>
      </c>
      <c r="BK4">
        <v>3286.2</v>
      </c>
      <c r="BL4">
        <v>3257.6</v>
      </c>
      <c r="BM4">
        <v>3283.2</v>
      </c>
      <c r="BN4">
        <v>3308.1000000000004</v>
      </c>
      <c r="BO4">
        <v>3179</v>
      </c>
      <c r="BP4">
        <v>3256.6</v>
      </c>
      <c r="BQ4">
        <v>3281.7</v>
      </c>
      <c r="BR4">
        <v>3259</v>
      </c>
      <c r="BS4">
        <v>3283.8999999999996</v>
      </c>
      <c r="BT4">
        <v>3309.3999999999996</v>
      </c>
      <c r="BU4">
        <v>3283.7</v>
      </c>
      <c r="BV4">
        <v>3307.8999999999996</v>
      </c>
      <c r="BW4">
        <v>2377.1</v>
      </c>
      <c r="BX4">
        <v>2356.5</v>
      </c>
      <c r="BY4">
        <v>2371.4</v>
      </c>
    </row>
    <row r="5" spans="2:77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300</v>
      </c>
      <c r="AQ5">
        <v>0</v>
      </c>
      <c r="AR5">
        <v>0</v>
      </c>
      <c r="AS5">
        <v>0</v>
      </c>
      <c r="AT5">
        <v>0</v>
      </c>
      <c r="AU5">
        <v>0</v>
      </c>
      <c r="AV5">
        <v>500</v>
      </c>
      <c r="AW5">
        <v>1000</v>
      </c>
      <c r="AX5">
        <v>500</v>
      </c>
      <c r="AY5">
        <v>500</v>
      </c>
      <c r="AZ5">
        <v>500</v>
      </c>
      <c r="BA5">
        <v>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301.60000000000014</v>
      </c>
      <c r="BQ5">
        <v>304.19999999999982</v>
      </c>
      <c r="BR5">
        <v>306.79999999999995</v>
      </c>
      <c r="BS5">
        <v>301.60000000000014</v>
      </c>
      <c r="BT5">
        <v>304.20000000000005</v>
      </c>
      <c r="BU5">
        <v>306.69999999999982</v>
      </c>
      <c r="BV5">
        <v>301.79999999999995</v>
      </c>
      <c r="BW5">
        <v>304.29999999999995</v>
      </c>
      <c r="BX5">
        <v>306.5</v>
      </c>
      <c r="BY5">
        <v>301.7</v>
      </c>
    </row>
    <row r="6" spans="2:77" s="52" customFormat="1">
      <c r="B6" s="52">
        <f>+B4+B5+B3</f>
        <v>2179</v>
      </c>
      <c r="C6" s="52">
        <f t="shared" ref="C6:BN6" si="0">+C4+C5+C3</f>
        <v>2583.8000000000002</v>
      </c>
      <c r="D6" s="52">
        <f t="shared" si="0"/>
        <v>3083.9</v>
      </c>
      <c r="E6" s="52">
        <f t="shared" si="0"/>
        <v>3078.9</v>
      </c>
      <c r="F6" s="52">
        <f t="shared" si="0"/>
        <v>3073.9</v>
      </c>
      <c r="G6" s="52">
        <f t="shared" si="0"/>
        <v>3068.9</v>
      </c>
      <c r="H6" s="52">
        <f t="shared" si="0"/>
        <v>3063.7</v>
      </c>
      <c r="I6" s="52">
        <f t="shared" si="0"/>
        <v>3206.7999999999997</v>
      </c>
      <c r="J6" s="52">
        <f t="shared" si="0"/>
        <v>3156.5</v>
      </c>
      <c r="K6" s="52">
        <f t="shared" si="0"/>
        <v>2988.7</v>
      </c>
      <c r="L6" s="52">
        <f t="shared" si="0"/>
        <v>3083.3999999999996</v>
      </c>
      <c r="M6" s="52">
        <f t="shared" si="0"/>
        <v>2677.7999999999997</v>
      </c>
      <c r="N6" s="52">
        <f t="shared" si="0"/>
        <v>2690.1</v>
      </c>
      <c r="O6" s="52">
        <f t="shared" si="0"/>
        <v>2700.7000000000003</v>
      </c>
      <c r="P6" s="52">
        <f t="shared" si="0"/>
        <v>2695</v>
      </c>
      <c r="Q6" s="52">
        <f t="shared" si="0"/>
        <v>2695</v>
      </c>
      <c r="R6" s="52">
        <f t="shared" si="0"/>
        <v>2695</v>
      </c>
      <c r="S6" s="52">
        <f t="shared" si="0"/>
        <v>2695</v>
      </c>
      <c r="T6" s="52">
        <f t="shared" si="0"/>
        <v>2375.1000000000004</v>
      </c>
      <c r="U6" s="52">
        <f t="shared" si="0"/>
        <v>2375</v>
      </c>
      <c r="V6" s="52">
        <f t="shared" si="0"/>
        <v>2405</v>
      </c>
      <c r="W6" s="52">
        <f t="shared" si="0"/>
        <v>2405</v>
      </c>
      <c r="X6" s="52">
        <f t="shared" si="0"/>
        <v>2495</v>
      </c>
      <c r="Y6" s="52">
        <f t="shared" si="0"/>
        <v>2514</v>
      </c>
      <c r="Z6" s="52">
        <f t="shared" si="0"/>
        <v>2568.4</v>
      </c>
      <c r="AA6" s="52">
        <f t="shared" si="0"/>
        <v>2595.6</v>
      </c>
      <c r="AB6" s="52">
        <f t="shared" si="0"/>
        <v>2596.3000000000002</v>
      </c>
      <c r="AC6" s="52">
        <f t="shared" si="0"/>
        <v>2624.3</v>
      </c>
      <c r="AD6" s="52">
        <f t="shared" si="0"/>
        <v>2804.3</v>
      </c>
      <c r="AE6" s="52">
        <f t="shared" si="0"/>
        <v>2804.3</v>
      </c>
      <c r="AF6" s="52">
        <f t="shared" si="0"/>
        <v>2604.3000000000002</v>
      </c>
      <c r="AG6" s="52">
        <f t="shared" si="0"/>
        <v>2404.2999999999997</v>
      </c>
      <c r="AH6" s="52">
        <f t="shared" si="0"/>
        <v>2404.2999999999997</v>
      </c>
      <c r="AI6" s="52">
        <f t="shared" si="0"/>
        <v>2404.2999999999997</v>
      </c>
      <c r="AJ6" s="52">
        <f t="shared" si="0"/>
        <v>2353.2999999999997</v>
      </c>
      <c r="AK6" s="52">
        <f t="shared" si="0"/>
        <v>2371.7999999999997</v>
      </c>
      <c r="AL6" s="52">
        <f t="shared" si="0"/>
        <v>2430.7999999999997</v>
      </c>
      <c r="AM6" s="52">
        <f t="shared" si="0"/>
        <v>2458.5</v>
      </c>
      <c r="AN6" s="52">
        <f t="shared" si="0"/>
        <v>4553.8</v>
      </c>
      <c r="AO6" s="52">
        <f t="shared" si="0"/>
        <v>4553.8</v>
      </c>
      <c r="AP6" s="52">
        <f t="shared" si="0"/>
        <v>4851.8</v>
      </c>
      <c r="AQ6" s="52">
        <f t="shared" si="0"/>
        <v>4562.2000000000007</v>
      </c>
      <c r="AR6" s="52">
        <f t="shared" si="0"/>
        <v>4562.2000000000007</v>
      </c>
      <c r="AS6" s="52">
        <f t="shared" si="0"/>
        <v>4559.6000000000004</v>
      </c>
      <c r="AT6" s="52">
        <f t="shared" si="0"/>
        <v>4444.8</v>
      </c>
      <c r="AU6" s="52">
        <f t="shared" si="0"/>
        <v>4444.8</v>
      </c>
      <c r="AV6" s="52">
        <f t="shared" si="0"/>
        <v>5844.8</v>
      </c>
      <c r="AW6" s="52">
        <f t="shared" si="0"/>
        <v>6710.8</v>
      </c>
      <c r="AX6" s="52">
        <f t="shared" si="0"/>
        <v>6232.2000000000007</v>
      </c>
      <c r="AY6" s="52">
        <f t="shared" si="0"/>
        <v>6302</v>
      </c>
      <c r="AZ6" s="52">
        <f t="shared" si="0"/>
        <v>6302</v>
      </c>
      <c r="BA6" s="52">
        <f t="shared" si="0"/>
        <v>5802</v>
      </c>
      <c r="BB6" s="52">
        <f t="shared" si="0"/>
        <v>5446.4</v>
      </c>
      <c r="BC6" s="52">
        <f t="shared" si="0"/>
        <v>5528.1</v>
      </c>
      <c r="BD6" s="52">
        <f t="shared" si="0"/>
        <v>5446.4</v>
      </c>
      <c r="BE6" s="52">
        <f t="shared" si="0"/>
        <v>5446.4</v>
      </c>
      <c r="BF6" s="52">
        <f t="shared" si="0"/>
        <v>5446.4</v>
      </c>
      <c r="BG6" s="52">
        <f t="shared" si="0"/>
        <v>5446.4</v>
      </c>
      <c r="BH6" s="52">
        <f t="shared" si="0"/>
        <v>5446.4</v>
      </c>
      <c r="BI6" s="52">
        <f t="shared" si="0"/>
        <v>4651.6000000000004</v>
      </c>
      <c r="BJ6" s="52">
        <f t="shared" si="0"/>
        <v>4680.2</v>
      </c>
      <c r="BK6" s="52">
        <f t="shared" si="0"/>
        <v>4212.5999999999995</v>
      </c>
      <c r="BL6" s="52">
        <f t="shared" si="0"/>
        <v>4178.6000000000004</v>
      </c>
      <c r="BM6" s="52">
        <f t="shared" si="0"/>
        <v>4205.0999999999995</v>
      </c>
      <c r="BN6" s="52">
        <f t="shared" si="0"/>
        <v>4230.9000000000005</v>
      </c>
      <c r="BO6" s="52">
        <f t="shared" ref="BO6:BY6" si="1">+BO4+BO5+BO3</f>
        <v>3803.8</v>
      </c>
      <c r="BP6" s="52">
        <f t="shared" si="1"/>
        <v>4180.7</v>
      </c>
      <c r="BQ6" s="52">
        <f t="shared" si="1"/>
        <v>4210</v>
      </c>
      <c r="BR6" s="52">
        <f t="shared" si="1"/>
        <v>4191.3</v>
      </c>
      <c r="BS6" s="52">
        <f t="shared" si="1"/>
        <v>4212.3</v>
      </c>
      <c r="BT6" s="52">
        <f t="shared" si="1"/>
        <v>5470.9</v>
      </c>
      <c r="BU6" s="52">
        <f t="shared" si="1"/>
        <v>5449.7999999999993</v>
      </c>
      <c r="BV6" s="52">
        <f t="shared" si="1"/>
        <v>5779.7</v>
      </c>
      <c r="BW6" s="52">
        <f t="shared" si="1"/>
        <v>4527.7999999999993</v>
      </c>
      <c r="BX6" s="52">
        <f t="shared" si="1"/>
        <v>4507.8</v>
      </c>
      <c r="BY6" s="52">
        <f t="shared" si="1"/>
        <v>4515.5</v>
      </c>
    </row>
    <row r="8" spans="2:77">
      <c r="B8">
        <v>14354.799999999997</v>
      </c>
      <c r="C8">
        <v>12415.3</v>
      </c>
      <c r="D8">
        <v>12482.999999999998</v>
      </c>
      <c r="E8">
        <v>13155.499999999998</v>
      </c>
      <c r="F8">
        <v>11790.199999999999</v>
      </c>
      <c r="G8">
        <v>12044.5</v>
      </c>
      <c r="H8">
        <v>12053.599999999999</v>
      </c>
      <c r="I8">
        <v>11753.5</v>
      </c>
      <c r="J8">
        <v>12253.5</v>
      </c>
      <c r="K8">
        <v>12253.5</v>
      </c>
      <c r="L8">
        <v>12253.5</v>
      </c>
      <c r="M8">
        <v>12253.5</v>
      </c>
      <c r="N8">
        <v>13185.8</v>
      </c>
      <c r="O8">
        <v>13155.4</v>
      </c>
      <c r="P8">
        <v>13155.4</v>
      </c>
      <c r="Q8">
        <v>12755.4</v>
      </c>
      <c r="R8">
        <v>12755.4</v>
      </c>
      <c r="S8">
        <v>12755.4</v>
      </c>
      <c r="T8">
        <v>13261.1</v>
      </c>
      <c r="U8">
        <v>13261.1</v>
      </c>
      <c r="V8">
        <v>13261.1</v>
      </c>
      <c r="W8">
        <v>13261.1</v>
      </c>
      <c r="X8">
        <v>13261.1</v>
      </c>
      <c r="Y8">
        <v>13661.1</v>
      </c>
      <c r="Z8">
        <v>14170.3</v>
      </c>
      <c r="AA8">
        <v>13670.3</v>
      </c>
      <c r="AB8">
        <v>13270.3</v>
      </c>
      <c r="AC8">
        <v>13270.3</v>
      </c>
      <c r="AD8">
        <v>13270.3</v>
      </c>
      <c r="AE8">
        <v>13270.3</v>
      </c>
      <c r="AF8">
        <v>13270.3</v>
      </c>
      <c r="AG8">
        <v>13270.3</v>
      </c>
      <c r="AH8">
        <v>13270.3</v>
      </c>
      <c r="AI8">
        <v>13270.3</v>
      </c>
      <c r="AJ8">
        <v>13270.3</v>
      </c>
      <c r="AK8">
        <v>13270.3</v>
      </c>
      <c r="AL8">
        <v>14129.5</v>
      </c>
      <c r="AM8">
        <v>14129.5</v>
      </c>
      <c r="AN8">
        <v>14129.5</v>
      </c>
      <c r="AO8">
        <v>14129.5</v>
      </c>
      <c r="AP8">
        <v>14129.5</v>
      </c>
      <c r="AQ8">
        <v>14129.5</v>
      </c>
      <c r="AR8">
        <v>14129.5</v>
      </c>
      <c r="AS8">
        <v>14129.5</v>
      </c>
      <c r="AT8">
        <v>14129.5</v>
      </c>
      <c r="AU8">
        <v>13979.5</v>
      </c>
      <c r="AV8">
        <v>13829.5</v>
      </c>
      <c r="AW8">
        <v>13679.5</v>
      </c>
      <c r="AX8">
        <v>13859.3</v>
      </c>
      <c r="AY8">
        <v>13709.3</v>
      </c>
      <c r="AZ8">
        <v>13559.3</v>
      </c>
      <c r="BA8">
        <v>13401.099999999999</v>
      </c>
      <c r="BB8">
        <v>13251.099999999999</v>
      </c>
      <c r="BC8">
        <v>13101.099999999999</v>
      </c>
      <c r="BD8">
        <v>12951.099999999999</v>
      </c>
      <c r="BE8">
        <v>12951.099999999999</v>
      </c>
      <c r="BF8">
        <v>13151.099999999999</v>
      </c>
      <c r="BG8">
        <v>13331.099999999999</v>
      </c>
      <c r="BH8">
        <v>13511.099999999999</v>
      </c>
      <c r="BI8">
        <v>7150.5</v>
      </c>
      <c r="BJ8">
        <v>7908.9</v>
      </c>
      <c r="BK8">
        <v>7908.9</v>
      </c>
      <c r="BL8">
        <v>7908.9</v>
      </c>
      <c r="BM8">
        <v>7908.9</v>
      </c>
      <c r="BN8">
        <v>7908.9</v>
      </c>
      <c r="BO8">
        <v>7908.9</v>
      </c>
      <c r="BP8">
        <v>7908.9</v>
      </c>
      <c r="BQ8">
        <v>7908.9</v>
      </c>
      <c r="BR8">
        <v>7908.9</v>
      </c>
      <c r="BS8">
        <v>9381.9</v>
      </c>
      <c r="BT8">
        <v>9416.1</v>
      </c>
      <c r="BU8">
        <v>9450.6</v>
      </c>
      <c r="BV8">
        <v>9596.9</v>
      </c>
      <c r="BW8">
        <v>10385.9</v>
      </c>
      <c r="BX8">
        <v>9412.7000000000007</v>
      </c>
      <c r="BY8">
        <v>9373.5</v>
      </c>
    </row>
    <row r="9" spans="2:77">
      <c r="B9">
        <v>2678.3999999999996</v>
      </c>
      <c r="C9">
        <v>1792.7</v>
      </c>
      <c r="D9">
        <v>1794.1000000000001</v>
      </c>
      <c r="E9">
        <v>1794.1000000000001</v>
      </c>
      <c r="F9">
        <v>1794.1000000000001</v>
      </c>
      <c r="G9">
        <v>1794.1000000000001</v>
      </c>
      <c r="H9">
        <v>1794.1000000000001</v>
      </c>
      <c r="I9">
        <v>1794.1000000000001</v>
      </c>
      <c r="J9">
        <v>1794.1000000000001</v>
      </c>
      <c r="K9">
        <v>1794.1000000000001</v>
      </c>
      <c r="L9">
        <v>2292.6999999999998</v>
      </c>
      <c r="M9">
        <v>2292.6999999999998</v>
      </c>
      <c r="N9">
        <v>2292.8999999999996</v>
      </c>
      <c r="O9">
        <v>2397.4</v>
      </c>
      <c r="P9">
        <v>2397.4</v>
      </c>
      <c r="Q9">
        <v>2397.3000000000002</v>
      </c>
      <c r="R9">
        <v>3397.4</v>
      </c>
      <c r="S9">
        <v>3397.4</v>
      </c>
      <c r="T9">
        <v>3397.4</v>
      </c>
      <c r="U9">
        <v>3397.4</v>
      </c>
      <c r="V9">
        <v>3397.4</v>
      </c>
      <c r="W9">
        <v>3397.4</v>
      </c>
      <c r="X9">
        <v>3397.4</v>
      </c>
      <c r="Y9">
        <v>3397.4</v>
      </c>
      <c r="Z9">
        <v>3301.2000000000003</v>
      </c>
      <c r="AA9">
        <v>3388.6</v>
      </c>
      <c r="AB9">
        <v>3388.6</v>
      </c>
      <c r="AC9">
        <v>3388.6</v>
      </c>
      <c r="AD9">
        <v>3388.6</v>
      </c>
      <c r="AE9">
        <v>3388.6</v>
      </c>
      <c r="AF9">
        <v>3388.6</v>
      </c>
      <c r="AG9">
        <v>3388.6</v>
      </c>
      <c r="AH9">
        <v>3388.6</v>
      </c>
      <c r="AI9">
        <v>3441.5</v>
      </c>
      <c r="AJ9">
        <v>3441.5</v>
      </c>
      <c r="AK9">
        <v>3467.3</v>
      </c>
      <c r="AL9">
        <v>3465.9</v>
      </c>
      <c r="AM9">
        <v>3552.7000000000003</v>
      </c>
      <c r="AN9">
        <v>3549.2</v>
      </c>
      <c r="AO9">
        <v>3549.2</v>
      </c>
      <c r="AP9">
        <v>4215.3</v>
      </c>
      <c r="AQ9">
        <v>4222.1000000000004</v>
      </c>
      <c r="AR9">
        <v>4255.1000000000004</v>
      </c>
      <c r="AS9">
        <v>4228.7999999999993</v>
      </c>
      <c r="AT9">
        <v>4228.7999999999993</v>
      </c>
      <c r="AU9">
        <v>4628.7999999999993</v>
      </c>
      <c r="AV9">
        <v>4630.1000000000004</v>
      </c>
      <c r="AW9">
        <v>4630.1000000000004</v>
      </c>
      <c r="AX9">
        <v>4630.1000000000004</v>
      </c>
      <c r="AY9">
        <v>4707</v>
      </c>
      <c r="AZ9">
        <v>4707</v>
      </c>
      <c r="BA9">
        <v>4707</v>
      </c>
      <c r="BB9">
        <v>2922</v>
      </c>
      <c r="BC9">
        <v>2922</v>
      </c>
      <c r="BD9">
        <v>2922</v>
      </c>
      <c r="BE9">
        <v>2922</v>
      </c>
      <c r="BF9">
        <v>2922</v>
      </c>
      <c r="BG9">
        <v>2928.8</v>
      </c>
      <c r="BH9">
        <v>2524.5</v>
      </c>
      <c r="BI9">
        <v>759.8</v>
      </c>
      <c r="BJ9">
        <v>4618.7</v>
      </c>
      <c r="BK9">
        <v>4646.1000000000004</v>
      </c>
      <c r="BL9">
        <v>4710.6000000000004</v>
      </c>
      <c r="BM9">
        <v>4736.5</v>
      </c>
      <c r="BN9">
        <v>4785.9000000000005</v>
      </c>
      <c r="BO9">
        <v>4148.3</v>
      </c>
      <c r="BP9">
        <v>3285.2</v>
      </c>
      <c r="BQ9">
        <v>18335.8</v>
      </c>
      <c r="BR9">
        <v>18366.400000000001</v>
      </c>
      <c r="BS9">
        <v>18412.600000000002</v>
      </c>
      <c r="BT9">
        <v>4956.2</v>
      </c>
      <c r="BU9">
        <v>4991.7000000000007</v>
      </c>
      <c r="BV9">
        <v>4147.5</v>
      </c>
      <c r="BW9">
        <v>4682.3999999999996</v>
      </c>
      <c r="BX9">
        <v>4702.2</v>
      </c>
      <c r="BY9">
        <v>4728.7999999999993</v>
      </c>
    </row>
    <row r="10" spans="2:77" s="52" customFormat="1">
      <c r="B10" s="52">
        <f>+B9+B8</f>
        <v>17033.199999999997</v>
      </c>
      <c r="C10" s="52">
        <f t="shared" ref="C10:BN10" si="2">+C9+C8</f>
        <v>14208</v>
      </c>
      <c r="D10" s="52">
        <f t="shared" si="2"/>
        <v>14277.099999999999</v>
      </c>
      <c r="E10" s="52">
        <f t="shared" si="2"/>
        <v>14949.599999999999</v>
      </c>
      <c r="F10" s="52">
        <f t="shared" si="2"/>
        <v>13584.3</v>
      </c>
      <c r="G10" s="52">
        <f t="shared" si="2"/>
        <v>13838.6</v>
      </c>
      <c r="H10" s="52">
        <f t="shared" si="2"/>
        <v>13847.699999999999</v>
      </c>
      <c r="I10" s="52">
        <f t="shared" si="2"/>
        <v>13547.6</v>
      </c>
      <c r="J10" s="52">
        <f t="shared" si="2"/>
        <v>14047.6</v>
      </c>
      <c r="K10" s="52">
        <f t="shared" si="2"/>
        <v>14047.6</v>
      </c>
      <c r="L10" s="52">
        <f t="shared" si="2"/>
        <v>14546.2</v>
      </c>
      <c r="M10" s="52">
        <f t="shared" si="2"/>
        <v>14546.2</v>
      </c>
      <c r="N10" s="52">
        <f t="shared" si="2"/>
        <v>15478.699999999999</v>
      </c>
      <c r="O10" s="52">
        <f t="shared" si="2"/>
        <v>15552.8</v>
      </c>
      <c r="P10" s="52">
        <f t="shared" si="2"/>
        <v>15552.8</v>
      </c>
      <c r="Q10" s="52">
        <f t="shared" si="2"/>
        <v>15152.7</v>
      </c>
      <c r="R10" s="52">
        <f t="shared" si="2"/>
        <v>16152.8</v>
      </c>
      <c r="S10" s="52">
        <f t="shared" si="2"/>
        <v>16152.8</v>
      </c>
      <c r="T10" s="52">
        <f t="shared" si="2"/>
        <v>16658.5</v>
      </c>
      <c r="U10" s="52">
        <f t="shared" si="2"/>
        <v>16658.5</v>
      </c>
      <c r="V10" s="52">
        <f t="shared" si="2"/>
        <v>16658.5</v>
      </c>
      <c r="W10" s="52">
        <f t="shared" si="2"/>
        <v>16658.5</v>
      </c>
      <c r="X10" s="52">
        <f t="shared" si="2"/>
        <v>16658.5</v>
      </c>
      <c r="Y10" s="52">
        <f t="shared" si="2"/>
        <v>17058.5</v>
      </c>
      <c r="Z10" s="52">
        <f t="shared" si="2"/>
        <v>17471.5</v>
      </c>
      <c r="AA10" s="52">
        <f t="shared" si="2"/>
        <v>17058.899999999998</v>
      </c>
      <c r="AB10" s="52">
        <f t="shared" si="2"/>
        <v>16658.899999999998</v>
      </c>
      <c r="AC10" s="52">
        <f t="shared" si="2"/>
        <v>16658.899999999998</v>
      </c>
      <c r="AD10" s="52">
        <f t="shared" si="2"/>
        <v>16658.899999999998</v>
      </c>
      <c r="AE10" s="52">
        <f t="shared" si="2"/>
        <v>16658.899999999998</v>
      </c>
      <c r="AF10" s="52">
        <f t="shared" si="2"/>
        <v>16658.899999999998</v>
      </c>
      <c r="AG10" s="52">
        <f t="shared" si="2"/>
        <v>16658.899999999998</v>
      </c>
      <c r="AH10" s="52">
        <f t="shared" si="2"/>
        <v>16658.899999999998</v>
      </c>
      <c r="AI10" s="52">
        <f t="shared" si="2"/>
        <v>16711.8</v>
      </c>
      <c r="AJ10" s="52">
        <f t="shared" si="2"/>
        <v>16711.8</v>
      </c>
      <c r="AK10" s="52">
        <f t="shared" si="2"/>
        <v>16737.599999999999</v>
      </c>
      <c r="AL10" s="52">
        <f t="shared" si="2"/>
        <v>17595.400000000001</v>
      </c>
      <c r="AM10" s="52">
        <f t="shared" si="2"/>
        <v>17682.2</v>
      </c>
      <c r="AN10" s="52">
        <f t="shared" si="2"/>
        <v>17678.7</v>
      </c>
      <c r="AO10" s="52">
        <f t="shared" si="2"/>
        <v>17678.7</v>
      </c>
      <c r="AP10" s="52">
        <f t="shared" si="2"/>
        <v>18344.8</v>
      </c>
      <c r="AQ10" s="52">
        <f t="shared" si="2"/>
        <v>18351.599999999999</v>
      </c>
      <c r="AR10" s="52">
        <f t="shared" si="2"/>
        <v>18384.599999999999</v>
      </c>
      <c r="AS10" s="52">
        <f t="shared" si="2"/>
        <v>18358.3</v>
      </c>
      <c r="AT10" s="52">
        <f t="shared" si="2"/>
        <v>18358.3</v>
      </c>
      <c r="AU10" s="52">
        <f t="shared" si="2"/>
        <v>18608.3</v>
      </c>
      <c r="AV10" s="52">
        <f t="shared" si="2"/>
        <v>18459.599999999999</v>
      </c>
      <c r="AW10" s="52">
        <f t="shared" si="2"/>
        <v>18309.599999999999</v>
      </c>
      <c r="AX10" s="52">
        <f t="shared" si="2"/>
        <v>18489.400000000001</v>
      </c>
      <c r="AY10" s="52">
        <f t="shared" si="2"/>
        <v>18416.3</v>
      </c>
      <c r="AZ10" s="52">
        <f t="shared" si="2"/>
        <v>18266.3</v>
      </c>
      <c r="BA10" s="52">
        <f t="shared" si="2"/>
        <v>18108.099999999999</v>
      </c>
      <c r="BB10" s="52">
        <f t="shared" si="2"/>
        <v>16173.099999999999</v>
      </c>
      <c r="BC10" s="52">
        <f t="shared" si="2"/>
        <v>16023.099999999999</v>
      </c>
      <c r="BD10" s="52">
        <f t="shared" si="2"/>
        <v>15873.099999999999</v>
      </c>
      <c r="BE10" s="52">
        <f t="shared" si="2"/>
        <v>15873.099999999999</v>
      </c>
      <c r="BF10" s="52">
        <f t="shared" si="2"/>
        <v>16073.099999999999</v>
      </c>
      <c r="BG10" s="52">
        <f t="shared" si="2"/>
        <v>16259.899999999998</v>
      </c>
      <c r="BH10" s="52">
        <f t="shared" si="2"/>
        <v>16035.599999999999</v>
      </c>
      <c r="BI10" s="52">
        <f t="shared" si="2"/>
        <v>7910.3</v>
      </c>
      <c r="BJ10" s="52">
        <f t="shared" si="2"/>
        <v>12527.599999999999</v>
      </c>
      <c r="BK10" s="52">
        <f t="shared" si="2"/>
        <v>12555</v>
      </c>
      <c r="BL10" s="52">
        <f t="shared" si="2"/>
        <v>12619.5</v>
      </c>
      <c r="BM10" s="52">
        <f t="shared" si="2"/>
        <v>12645.4</v>
      </c>
      <c r="BN10" s="52">
        <f t="shared" si="2"/>
        <v>12694.8</v>
      </c>
      <c r="BO10" s="52">
        <f t="shared" ref="BO10:BY10" si="3">+BO9+BO8</f>
        <v>12057.2</v>
      </c>
      <c r="BP10" s="52">
        <f t="shared" si="3"/>
        <v>11194.099999999999</v>
      </c>
      <c r="BQ10" s="52">
        <f t="shared" si="3"/>
        <v>26244.699999999997</v>
      </c>
      <c r="BR10" s="52">
        <f t="shared" si="3"/>
        <v>26275.300000000003</v>
      </c>
      <c r="BS10" s="52">
        <f t="shared" si="3"/>
        <v>27794.5</v>
      </c>
      <c r="BT10" s="52">
        <f t="shared" si="3"/>
        <v>14372.3</v>
      </c>
      <c r="BU10" s="52">
        <f t="shared" si="3"/>
        <v>14442.300000000001</v>
      </c>
      <c r="BV10" s="52">
        <f t="shared" si="3"/>
        <v>13744.4</v>
      </c>
      <c r="BW10" s="52">
        <f t="shared" si="3"/>
        <v>15068.3</v>
      </c>
      <c r="BX10" s="52">
        <f t="shared" si="3"/>
        <v>14114.900000000001</v>
      </c>
      <c r="BY10" s="52">
        <f t="shared" si="3"/>
        <v>14102.3</v>
      </c>
    </row>
    <row r="12" spans="2:77">
      <c r="B12">
        <v>1006</v>
      </c>
      <c r="C12">
        <v>1674.9</v>
      </c>
      <c r="D12">
        <v>2171.4</v>
      </c>
      <c r="E12">
        <v>1814.4</v>
      </c>
      <c r="F12">
        <v>1815</v>
      </c>
      <c r="G12">
        <v>2180</v>
      </c>
      <c r="H12">
        <v>2177.6</v>
      </c>
      <c r="I12">
        <v>2177.6999999999998</v>
      </c>
      <c r="J12">
        <v>2104.1</v>
      </c>
      <c r="K12">
        <v>2028.6</v>
      </c>
      <c r="L12">
        <v>2027.8</v>
      </c>
      <c r="M12">
        <v>2028.7</v>
      </c>
      <c r="N12">
        <v>2033.2</v>
      </c>
      <c r="O12">
        <v>2032.5</v>
      </c>
      <c r="P12">
        <v>2032.1</v>
      </c>
      <c r="Q12">
        <v>2121.1999999999998</v>
      </c>
      <c r="R12">
        <v>1921.3</v>
      </c>
      <c r="S12">
        <v>1920.4</v>
      </c>
      <c r="T12">
        <v>1975.1</v>
      </c>
      <c r="U12">
        <v>1975.8</v>
      </c>
      <c r="V12">
        <v>1476.4</v>
      </c>
      <c r="W12">
        <v>1475.8</v>
      </c>
      <c r="X12">
        <v>1476.1</v>
      </c>
      <c r="Y12">
        <v>1475.3</v>
      </c>
      <c r="Z12">
        <v>1511.1</v>
      </c>
      <c r="AA12">
        <v>1480.1999999999998</v>
      </c>
      <c r="AB12">
        <v>1480.8999999999999</v>
      </c>
      <c r="AC12">
        <v>1483.6</v>
      </c>
      <c r="AD12">
        <v>1479.6999999999998</v>
      </c>
      <c r="AE12">
        <v>1481.9</v>
      </c>
      <c r="AF12">
        <v>1497</v>
      </c>
      <c r="AG12">
        <v>1496.1</v>
      </c>
      <c r="AH12">
        <v>1497.1</v>
      </c>
      <c r="AI12">
        <v>1410.8</v>
      </c>
      <c r="AJ12">
        <v>1879.8</v>
      </c>
      <c r="AK12">
        <v>1975.5</v>
      </c>
      <c r="AL12">
        <v>2068.1999999999998</v>
      </c>
      <c r="AM12">
        <v>1918</v>
      </c>
      <c r="AN12">
        <v>1891.6</v>
      </c>
      <c r="AO12">
        <v>1391.8</v>
      </c>
      <c r="AP12">
        <v>1329.9</v>
      </c>
      <c r="AQ12">
        <v>1829.5</v>
      </c>
      <c r="AR12">
        <v>2320.6</v>
      </c>
      <c r="AS12">
        <v>2321</v>
      </c>
      <c r="AT12">
        <v>2212.5</v>
      </c>
      <c r="AU12">
        <v>2225.1</v>
      </c>
      <c r="AV12">
        <v>2225.3000000000002</v>
      </c>
      <c r="AW12">
        <v>2326.5</v>
      </c>
      <c r="AX12">
        <v>2540.6999999999998</v>
      </c>
      <c r="AY12">
        <v>2540.3000000000002</v>
      </c>
      <c r="AZ12">
        <v>2549.1999999999998</v>
      </c>
      <c r="BA12">
        <v>2547.5</v>
      </c>
      <c r="BB12">
        <v>2446.8000000000002</v>
      </c>
      <c r="BC12">
        <v>2450.6</v>
      </c>
      <c r="BD12">
        <v>2450.1999999999998</v>
      </c>
      <c r="BE12">
        <v>2424.9</v>
      </c>
      <c r="BF12">
        <v>2426.6</v>
      </c>
      <c r="BG12">
        <v>1919.3</v>
      </c>
      <c r="BH12">
        <v>1432.3</v>
      </c>
      <c r="BI12">
        <v>8239.2000000000007</v>
      </c>
      <c r="BJ12">
        <v>7702.2000000000007</v>
      </c>
      <c r="BK12">
        <v>7636.5</v>
      </c>
      <c r="BL12">
        <v>8658.7000000000007</v>
      </c>
      <c r="BM12">
        <v>10415.300000000001</v>
      </c>
      <c r="BN12">
        <v>9889.4</v>
      </c>
      <c r="BO12">
        <v>10643.199999999999</v>
      </c>
      <c r="BP12">
        <v>11102.8</v>
      </c>
      <c r="BQ12">
        <v>11356.1</v>
      </c>
      <c r="BR12">
        <v>11589.4</v>
      </c>
      <c r="BS12">
        <v>2160.6</v>
      </c>
      <c r="BT12">
        <v>2073.3000000000002</v>
      </c>
      <c r="BU12">
        <v>1973.1</v>
      </c>
      <c r="BV12">
        <v>1974.2</v>
      </c>
      <c r="BW12">
        <v>1993.4</v>
      </c>
      <c r="BX12">
        <v>1984.3999999999999</v>
      </c>
      <c r="BY12">
        <v>1983.4</v>
      </c>
    </row>
    <row r="13" spans="2:77">
      <c r="B13">
        <v>10782.7</v>
      </c>
      <c r="C13">
        <v>12108.7</v>
      </c>
      <c r="D13">
        <v>12252</v>
      </c>
      <c r="E13">
        <v>12638.100000000002</v>
      </c>
      <c r="F13">
        <v>13165.099999999999</v>
      </c>
      <c r="G13">
        <v>13380.1</v>
      </c>
      <c r="H13">
        <v>13909.300000000001</v>
      </c>
      <c r="I13">
        <v>14228.000000000002</v>
      </c>
      <c r="J13">
        <v>14605.1</v>
      </c>
      <c r="K13">
        <v>14961.5</v>
      </c>
      <c r="L13">
        <v>14963.099999999999</v>
      </c>
      <c r="M13">
        <v>14989.5</v>
      </c>
      <c r="N13">
        <v>14680.199999999997</v>
      </c>
      <c r="O13">
        <v>15863.999999999998</v>
      </c>
      <c r="P13">
        <v>15892.600000000002</v>
      </c>
      <c r="Q13">
        <v>16293.3</v>
      </c>
      <c r="R13">
        <v>16490.599999999999</v>
      </c>
      <c r="S13">
        <v>16979.599999999999</v>
      </c>
      <c r="T13">
        <v>16894.699999999997</v>
      </c>
      <c r="U13">
        <v>17063.100000000002</v>
      </c>
      <c r="V13">
        <v>16919.599999999999</v>
      </c>
      <c r="W13">
        <v>17042.300000000003</v>
      </c>
      <c r="X13">
        <v>17203.899999999998</v>
      </c>
      <c r="Y13">
        <v>17435.099999999999</v>
      </c>
      <c r="Z13">
        <v>17348.2</v>
      </c>
      <c r="AA13">
        <v>18440.599999999999</v>
      </c>
      <c r="AB13">
        <v>18451.899999999998</v>
      </c>
      <c r="AC13">
        <v>18866.7</v>
      </c>
      <c r="AD13">
        <v>19302.599999999999</v>
      </c>
      <c r="AE13">
        <v>19667.099999999999</v>
      </c>
      <c r="AF13">
        <v>19961.3</v>
      </c>
      <c r="AG13">
        <v>20572.399999999998</v>
      </c>
      <c r="AH13">
        <v>20936.100000000002</v>
      </c>
      <c r="AI13">
        <v>21324.400000000001</v>
      </c>
      <c r="AJ13">
        <v>22003.8</v>
      </c>
      <c r="AK13">
        <v>22467.1</v>
      </c>
      <c r="AL13">
        <v>22691.9</v>
      </c>
      <c r="AM13">
        <v>24065.300000000003</v>
      </c>
      <c r="AN13">
        <v>23815.4</v>
      </c>
      <c r="AO13">
        <v>24184.600000000006</v>
      </c>
      <c r="AP13">
        <v>24806.799999999999</v>
      </c>
      <c r="AQ13">
        <v>25464.1</v>
      </c>
      <c r="AR13">
        <v>26329.3</v>
      </c>
      <c r="AS13">
        <v>26982.399999999998</v>
      </c>
      <c r="AT13">
        <v>27970.900000000009</v>
      </c>
      <c r="AU13">
        <v>28941.400000000005</v>
      </c>
      <c r="AV13">
        <v>28736.2</v>
      </c>
      <c r="AW13">
        <v>29328.300000000003</v>
      </c>
      <c r="AX13">
        <v>29899.499999999996</v>
      </c>
      <c r="AY13">
        <v>31274.699999999997</v>
      </c>
      <c r="AZ13">
        <v>30566</v>
      </c>
      <c r="BA13">
        <v>31321</v>
      </c>
      <c r="BB13">
        <v>34272.299999999996</v>
      </c>
      <c r="BC13">
        <v>34326.699999999997</v>
      </c>
      <c r="BD13">
        <v>34511.9</v>
      </c>
      <c r="BE13">
        <v>35043.600000000006</v>
      </c>
      <c r="BF13">
        <v>35545.100000000006</v>
      </c>
      <c r="BG13">
        <v>35564.5</v>
      </c>
      <c r="BH13">
        <v>35968.500000000007</v>
      </c>
      <c r="BI13">
        <v>42184.5</v>
      </c>
      <c r="BJ13">
        <v>40423.30000000001</v>
      </c>
      <c r="BK13">
        <v>40148.300000000003</v>
      </c>
      <c r="BL13">
        <v>40702.400000000001</v>
      </c>
      <c r="BM13">
        <v>41481</v>
      </c>
      <c r="BN13">
        <v>42090.400000000009</v>
      </c>
      <c r="BO13">
        <v>42116.4</v>
      </c>
      <c r="BP13">
        <v>41886.100000000006</v>
      </c>
      <c r="BQ13">
        <v>28668.7</v>
      </c>
      <c r="BR13">
        <v>28881.199999999997</v>
      </c>
      <c r="BS13">
        <v>29606.899999999998</v>
      </c>
      <c r="BT13">
        <v>42735.199999999997</v>
      </c>
      <c r="BU13">
        <v>43434.400000000001</v>
      </c>
      <c r="BV13">
        <v>43825.5</v>
      </c>
      <c r="BW13">
        <v>44130.400000000001</v>
      </c>
      <c r="BX13">
        <v>45053.69999999999</v>
      </c>
      <c r="BY13">
        <v>46898.5</v>
      </c>
    </row>
    <row r="14" spans="2:77" s="52" customFormat="1">
      <c r="B14" s="52">
        <f>+B13+B12</f>
        <v>11788.7</v>
      </c>
      <c r="C14" s="52">
        <f t="shared" ref="C14:BN14" si="4">+C13+C12</f>
        <v>13783.6</v>
      </c>
      <c r="D14" s="52">
        <f t="shared" si="4"/>
        <v>14423.4</v>
      </c>
      <c r="E14" s="52">
        <f t="shared" si="4"/>
        <v>14452.500000000002</v>
      </c>
      <c r="F14" s="52">
        <f t="shared" si="4"/>
        <v>14980.099999999999</v>
      </c>
      <c r="G14" s="52">
        <f t="shared" si="4"/>
        <v>15560.1</v>
      </c>
      <c r="H14" s="52">
        <f t="shared" si="4"/>
        <v>16086.900000000001</v>
      </c>
      <c r="I14" s="52">
        <f t="shared" si="4"/>
        <v>16405.7</v>
      </c>
      <c r="J14" s="52">
        <f t="shared" si="4"/>
        <v>16709.2</v>
      </c>
      <c r="K14" s="52">
        <f t="shared" si="4"/>
        <v>16990.099999999999</v>
      </c>
      <c r="L14" s="52">
        <f t="shared" si="4"/>
        <v>16990.899999999998</v>
      </c>
      <c r="M14" s="52">
        <f t="shared" si="4"/>
        <v>17018.2</v>
      </c>
      <c r="N14" s="52">
        <f t="shared" si="4"/>
        <v>16713.399999999998</v>
      </c>
      <c r="O14" s="52">
        <f t="shared" si="4"/>
        <v>17896.5</v>
      </c>
      <c r="P14" s="52">
        <f t="shared" si="4"/>
        <v>17924.7</v>
      </c>
      <c r="Q14" s="52">
        <f t="shared" si="4"/>
        <v>18414.5</v>
      </c>
      <c r="R14" s="52">
        <f t="shared" si="4"/>
        <v>18411.899999999998</v>
      </c>
      <c r="S14" s="52">
        <f t="shared" si="4"/>
        <v>18900</v>
      </c>
      <c r="T14" s="52">
        <f t="shared" si="4"/>
        <v>18869.799999999996</v>
      </c>
      <c r="U14" s="52">
        <f t="shared" si="4"/>
        <v>19038.900000000001</v>
      </c>
      <c r="V14" s="52">
        <f t="shared" si="4"/>
        <v>18396</v>
      </c>
      <c r="W14" s="52">
        <f t="shared" si="4"/>
        <v>18518.100000000002</v>
      </c>
      <c r="X14" s="52">
        <f t="shared" si="4"/>
        <v>18679.999999999996</v>
      </c>
      <c r="Y14" s="52">
        <f t="shared" si="4"/>
        <v>18910.399999999998</v>
      </c>
      <c r="Z14" s="52">
        <f t="shared" si="4"/>
        <v>18859.3</v>
      </c>
      <c r="AA14" s="52">
        <f t="shared" si="4"/>
        <v>19920.8</v>
      </c>
      <c r="AB14" s="52">
        <f t="shared" si="4"/>
        <v>19932.8</v>
      </c>
      <c r="AC14" s="52">
        <f t="shared" si="4"/>
        <v>20350.3</v>
      </c>
      <c r="AD14" s="52">
        <f t="shared" si="4"/>
        <v>20782.3</v>
      </c>
      <c r="AE14" s="52">
        <f t="shared" si="4"/>
        <v>21149</v>
      </c>
      <c r="AF14" s="52">
        <f t="shared" si="4"/>
        <v>21458.3</v>
      </c>
      <c r="AG14" s="52">
        <f t="shared" si="4"/>
        <v>22068.499999999996</v>
      </c>
      <c r="AH14" s="52">
        <f t="shared" si="4"/>
        <v>22433.200000000001</v>
      </c>
      <c r="AI14" s="52">
        <f t="shared" si="4"/>
        <v>22735.200000000001</v>
      </c>
      <c r="AJ14" s="52">
        <f t="shared" si="4"/>
        <v>23883.599999999999</v>
      </c>
      <c r="AK14" s="52">
        <f t="shared" si="4"/>
        <v>24442.6</v>
      </c>
      <c r="AL14" s="52">
        <f t="shared" si="4"/>
        <v>24760.100000000002</v>
      </c>
      <c r="AM14" s="52">
        <f t="shared" si="4"/>
        <v>25983.300000000003</v>
      </c>
      <c r="AN14" s="52">
        <f t="shared" si="4"/>
        <v>25707</v>
      </c>
      <c r="AO14" s="52">
        <f t="shared" si="4"/>
        <v>25576.400000000005</v>
      </c>
      <c r="AP14" s="52">
        <f t="shared" si="4"/>
        <v>26136.7</v>
      </c>
      <c r="AQ14" s="52">
        <f t="shared" si="4"/>
        <v>27293.599999999999</v>
      </c>
      <c r="AR14" s="52">
        <f t="shared" si="4"/>
        <v>28649.899999999998</v>
      </c>
      <c r="AS14" s="52">
        <f t="shared" si="4"/>
        <v>29303.399999999998</v>
      </c>
      <c r="AT14" s="52">
        <f t="shared" si="4"/>
        <v>30183.400000000009</v>
      </c>
      <c r="AU14" s="52">
        <f t="shared" si="4"/>
        <v>31166.500000000004</v>
      </c>
      <c r="AV14" s="52">
        <f t="shared" si="4"/>
        <v>30961.5</v>
      </c>
      <c r="AW14" s="52">
        <f t="shared" si="4"/>
        <v>31654.800000000003</v>
      </c>
      <c r="AX14" s="52">
        <f t="shared" si="4"/>
        <v>32440.199999999997</v>
      </c>
      <c r="AY14" s="52">
        <f t="shared" si="4"/>
        <v>33815</v>
      </c>
      <c r="AZ14" s="52">
        <f t="shared" si="4"/>
        <v>33115.199999999997</v>
      </c>
      <c r="BA14" s="52">
        <f t="shared" si="4"/>
        <v>33868.5</v>
      </c>
      <c r="BB14" s="52">
        <f t="shared" si="4"/>
        <v>36719.1</v>
      </c>
      <c r="BC14" s="52">
        <f t="shared" si="4"/>
        <v>36777.299999999996</v>
      </c>
      <c r="BD14" s="52">
        <f t="shared" si="4"/>
        <v>36962.1</v>
      </c>
      <c r="BE14" s="52">
        <f t="shared" si="4"/>
        <v>37468.500000000007</v>
      </c>
      <c r="BF14" s="52">
        <f t="shared" si="4"/>
        <v>37971.700000000004</v>
      </c>
      <c r="BG14" s="52">
        <f t="shared" si="4"/>
        <v>37483.800000000003</v>
      </c>
      <c r="BH14" s="52">
        <f t="shared" si="4"/>
        <v>37400.80000000001</v>
      </c>
      <c r="BI14" s="52">
        <f t="shared" si="4"/>
        <v>50423.7</v>
      </c>
      <c r="BJ14" s="52">
        <f t="shared" si="4"/>
        <v>48125.500000000015</v>
      </c>
      <c r="BK14" s="52">
        <f t="shared" si="4"/>
        <v>47784.800000000003</v>
      </c>
      <c r="BL14" s="52">
        <f t="shared" si="4"/>
        <v>49361.100000000006</v>
      </c>
      <c r="BM14" s="52">
        <f t="shared" si="4"/>
        <v>51896.3</v>
      </c>
      <c r="BN14" s="52">
        <f t="shared" si="4"/>
        <v>51979.80000000001</v>
      </c>
      <c r="BO14" s="52">
        <f t="shared" ref="BO14:BY14" si="5">+BO13+BO12</f>
        <v>52759.6</v>
      </c>
      <c r="BP14" s="52">
        <f t="shared" si="5"/>
        <v>52988.900000000009</v>
      </c>
      <c r="BQ14" s="52">
        <f t="shared" si="5"/>
        <v>40024.800000000003</v>
      </c>
      <c r="BR14" s="52">
        <f t="shared" si="5"/>
        <v>40470.6</v>
      </c>
      <c r="BS14" s="52">
        <f t="shared" si="5"/>
        <v>31767.499999999996</v>
      </c>
      <c r="BT14" s="52">
        <f t="shared" si="5"/>
        <v>44808.5</v>
      </c>
      <c r="BU14" s="52">
        <f t="shared" si="5"/>
        <v>45407.5</v>
      </c>
      <c r="BV14" s="52">
        <f t="shared" si="5"/>
        <v>45799.7</v>
      </c>
      <c r="BW14" s="52">
        <f t="shared" si="5"/>
        <v>46123.8</v>
      </c>
      <c r="BX14" s="52">
        <f t="shared" si="5"/>
        <v>47038.099999999991</v>
      </c>
      <c r="BY14" s="52">
        <f t="shared" si="5"/>
        <v>48881.9</v>
      </c>
    </row>
    <row r="16" spans="2:77">
      <c r="B16">
        <v>360.5</v>
      </c>
      <c r="C16">
        <v>360.5</v>
      </c>
      <c r="D16">
        <v>360.5</v>
      </c>
      <c r="E16">
        <v>360.5</v>
      </c>
      <c r="F16">
        <v>360.5</v>
      </c>
      <c r="G16">
        <v>360.5</v>
      </c>
      <c r="H16">
        <v>360.5</v>
      </c>
      <c r="I16">
        <v>360.5</v>
      </c>
      <c r="J16">
        <v>360.5</v>
      </c>
      <c r="K16">
        <v>360.5</v>
      </c>
      <c r="L16">
        <v>360.5</v>
      </c>
      <c r="M16">
        <v>360.5</v>
      </c>
      <c r="N16">
        <v>353.3</v>
      </c>
      <c r="O16">
        <v>353.3</v>
      </c>
      <c r="P16">
        <v>353.3</v>
      </c>
      <c r="Q16">
        <v>353.3</v>
      </c>
      <c r="R16">
        <v>353.3</v>
      </c>
      <c r="S16">
        <v>353.3</v>
      </c>
      <c r="T16">
        <v>353.3</v>
      </c>
      <c r="U16">
        <v>353.3</v>
      </c>
      <c r="V16">
        <v>353.3</v>
      </c>
      <c r="W16">
        <v>353.3</v>
      </c>
      <c r="X16">
        <v>353.3</v>
      </c>
      <c r="Y16">
        <v>353.3</v>
      </c>
      <c r="Z16">
        <v>346</v>
      </c>
      <c r="AA16">
        <v>346</v>
      </c>
      <c r="AB16">
        <v>346</v>
      </c>
      <c r="AC16">
        <v>346</v>
      </c>
      <c r="AD16">
        <v>346</v>
      </c>
      <c r="AE16">
        <v>346</v>
      </c>
      <c r="AF16">
        <v>346</v>
      </c>
      <c r="AG16">
        <v>346</v>
      </c>
      <c r="AH16">
        <v>346</v>
      </c>
      <c r="AI16">
        <v>346</v>
      </c>
      <c r="AJ16">
        <v>346</v>
      </c>
      <c r="AK16">
        <v>346</v>
      </c>
      <c r="AL16">
        <v>331.2</v>
      </c>
      <c r="AM16">
        <v>331.2</v>
      </c>
      <c r="AN16">
        <v>331.2</v>
      </c>
      <c r="AO16">
        <v>331.2</v>
      </c>
      <c r="AP16">
        <v>331.2</v>
      </c>
      <c r="AQ16">
        <v>331.2</v>
      </c>
      <c r="AR16">
        <v>331.2</v>
      </c>
      <c r="AS16">
        <v>331.2</v>
      </c>
      <c r="AT16">
        <v>331.2</v>
      </c>
      <c r="AU16">
        <v>331.2</v>
      </c>
      <c r="AV16">
        <v>331.2</v>
      </c>
      <c r="AW16">
        <v>331.2</v>
      </c>
      <c r="AX16">
        <v>331.2</v>
      </c>
      <c r="AY16">
        <v>331.2</v>
      </c>
      <c r="AZ16">
        <v>331.2</v>
      </c>
      <c r="BA16">
        <v>331.2</v>
      </c>
      <c r="BB16">
        <v>331.2</v>
      </c>
      <c r="BC16">
        <v>331.2</v>
      </c>
      <c r="BD16">
        <v>331.2</v>
      </c>
      <c r="BE16">
        <v>331.2</v>
      </c>
      <c r="BF16">
        <v>331.2</v>
      </c>
      <c r="BG16">
        <v>331.2</v>
      </c>
      <c r="BH16">
        <v>331.2</v>
      </c>
      <c r="BI16">
        <v>331.2</v>
      </c>
      <c r="BJ16">
        <v>331.2</v>
      </c>
      <c r="BK16">
        <v>331.2</v>
      </c>
      <c r="BL16">
        <v>331.2</v>
      </c>
      <c r="BM16">
        <v>331.2</v>
      </c>
      <c r="BN16">
        <v>331.2</v>
      </c>
      <c r="BO16">
        <v>331.2</v>
      </c>
      <c r="BP16">
        <v>331.2</v>
      </c>
      <c r="BQ16">
        <v>331.2</v>
      </c>
      <c r="BR16">
        <v>331.2</v>
      </c>
      <c r="BS16">
        <v>331.2</v>
      </c>
      <c r="BT16">
        <v>331.2</v>
      </c>
      <c r="BU16">
        <v>331.2</v>
      </c>
      <c r="BV16">
        <v>331.2</v>
      </c>
      <c r="BW16">
        <v>331.2</v>
      </c>
      <c r="BX16">
        <v>331.2</v>
      </c>
      <c r="BY16">
        <v>331.2</v>
      </c>
    </row>
    <row r="17" spans="2:77">
      <c r="B17">
        <v>989.7</v>
      </c>
      <c r="C17">
        <v>989.7</v>
      </c>
      <c r="D17">
        <v>989.7</v>
      </c>
      <c r="E17">
        <v>1057</v>
      </c>
      <c r="F17">
        <v>730.3</v>
      </c>
      <c r="G17">
        <v>730.3</v>
      </c>
      <c r="H17">
        <v>751.8</v>
      </c>
      <c r="I17">
        <v>751.8</v>
      </c>
      <c r="J17">
        <v>751.8</v>
      </c>
      <c r="K17">
        <v>722</v>
      </c>
      <c r="L17">
        <v>722</v>
      </c>
      <c r="M17">
        <v>722</v>
      </c>
      <c r="N17">
        <v>734.6</v>
      </c>
      <c r="O17">
        <v>734.6</v>
      </c>
      <c r="P17">
        <v>734.6</v>
      </c>
      <c r="Q17">
        <v>773.6</v>
      </c>
      <c r="R17">
        <v>427.6</v>
      </c>
      <c r="S17">
        <v>427.6</v>
      </c>
      <c r="T17">
        <v>414.3</v>
      </c>
      <c r="U17">
        <v>414.3</v>
      </c>
      <c r="V17">
        <v>414.3</v>
      </c>
      <c r="W17">
        <v>414.3</v>
      </c>
      <c r="X17">
        <v>414.3</v>
      </c>
      <c r="Y17">
        <v>414.3</v>
      </c>
      <c r="Z17">
        <v>466.8</v>
      </c>
      <c r="AA17">
        <v>466.8</v>
      </c>
      <c r="AB17">
        <v>466.8</v>
      </c>
      <c r="AC17">
        <v>460.9</v>
      </c>
      <c r="AD17">
        <v>460.9</v>
      </c>
      <c r="AE17">
        <v>460.9</v>
      </c>
      <c r="AF17">
        <v>459.1</v>
      </c>
      <c r="AG17">
        <v>459.1</v>
      </c>
      <c r="AH17">
        <v>459.1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2:77" s="52" customFormat="1">
      <c r="B18" s="52">
        <f>+B16+B17</f>
        <v>1350.2</v>
      </c>
      <c r="C18" s="52">
        <f t="shared" ref="C18:BN18" si="6">+C16+C17</f>
        <v>1350.2</v>
      </c>
      <c r="D18" s="52">
        <f t="shared" si="6"/>
        <v>1350.2</v>
      </c>
      <c r="E18" s="52">
        <f t="shared" si="6"/>
        <v>1417.5</v>
      </c>
      <c r="F18" s="52">
        <f t="shared" si="6"/>
        <v>1090.8</v>
      </c>
      <c r="G18" s="52">
        <f t="shared" si="6"/>
        <v>1090.8</v>
      </c>
      <c r="H18" s="52">
        <f t="shared" si="6"/>
        <v>1112.3</v>
      </c>
      <c r="I18" s="52">
        <f t="shared" si="6"/>
        <v>1112.3</v>
      </c>
      <c r="J18" s="52">
        <f t="shared" si="6"/>
        <v>1112.3</v>
      </c>
      <c r="K18" s="52">
        <f t="shared" si="6"/>
        <v>1082.5</v>
      </c>
      <c r="L18" s="52">
        <f t="shared" si="6"/>
        <v>1082.5</v>
      </c>
      <c r="M18" s="52">
        <f t="shared" si="6"/>
        <v>1082.5</v>
      </c>
      <c r="N18" s="52">
        <f t="shared" si="6"/>
        <v>1087.9000000000001</v>
      </c>
      <c r="O18" s="52">
        <f t="shared" si="6"/>
        <v>1087.9000000000001</v>
      </c>
      <c r="P18" s="52">
        <f t="shared" si="6"/>
        <v>1087.9000000000001</v>
      </c>
      <c r="Q18" s="52">
        <f t="shared" si="6"/>
        <v>1126.9000000000001</v>
      </c>
      <c r="R18" s="52">
        <f t="shared" si="6"/>
        <v>780.90000000000009</v>
      </c>
      <c r="S18" s="52">
        <f t="shared" si="6"/>
        <v>780.90000000000009</v>
      </c>
      <c r="T18" s="52">
        <f t="shared" si="6"/>
        <v>767.6</v>
      </c>
      <c r="U18" s="52">
        <f t="shared" si="6"/>
        <v>767.6</v>
      </c>
      <c r="V18" s="52">
        <f t="shared" si="6"/>
        <v>767.6</v>
      </c>
      <c r="W18" s="52">
        <f t="shared" si="6"/>
        <v>767.6</v>
      </c>
      <c r="X18" s="52">
        <f t="shared" si="6"/>
        <v>767.6</v>
      </c>
      <c r="Y18" s="52">
        <f t="shared" si="6"/>
        <v>767.6</v>
      </c>
      <c r="Z18" s="52">
        <f t="shared" si="6"/>
        <v>812.8</v>
      </c>
      <c r="AA18" s="52">
        <f t="shared" si="6"/>
        <v>812.8</v>
      </c>
      <c r="AB18" s="52">
        <f t="shared" si="6"/>
        <v>812.8</v>
      </c>
      <c r="AC18" s="52">
        <f t="shared" si="6"/>
        <v>806.9</v>
      </c>
      <c r="AD18" s="52">
        <f t="shared" si="6"/>
        <v>806.9</v>
      </c>
      <c r="AE18" s="52">
        <f t="shared" si="6"/>
        <v>806.9</v>
      </c>
      <c r="AF18" s="52">
        <f t="shared" si="6"/>
        <v>805.1</v>
      </c>
      <c r="AG18" s="52">
        <f t="shared" si="6"/>
        <v>805.1</v>
      </c>
      <c r="AH18" s="52">
        <f t="shared" si="6"/>
        <v>805.1</v>
      </c>
      <c r="AI18" s="52">
        <f t="shared" si="6"/>
        <v>346</v>
      </c>
      <c r="AJ18" s="52">
        <f t="shared" si="6"/>
        <v>346</v>
      </c>
      <c r="AK18" s="52">
        <f t="shared" si="6"/>
        <v>346</v>
      </c>
      <c r="AL18" s="52">
        <f t="shared" si="6"/>
        <v>331.2</v>
      </c>
      <c r="AM18" s="52">
        <f t="shared" si="6"/>
        <v>331.2</v>
      </c>
      <c r="AN18" s="52">
        <f t="shared" si="6"/>
        <v>331.2</v>
      </c>
      <c r="AO18" s="52">
        <f t="shared" si="6"/>
        <v>331.2</v>
      </c>
      <c r="AP18" s="52">
        <f t="shared" si="6"/>
        <v>331.2</v>
      </c>
      <c r="AQ18" s="52">
        <f t="shared" si="6"/>
        <v>331.2</v>
      </c>
      <c r="AR18" s="52">
        <f t="shared" si="6"/>
        <v>331.2</v>
      </c>
      <c r="AS18" s="52">
        <f t="shared" si="6"/>
        <v>331.2</v>
      </c>
      <c r="AT18" s="52">
        <f t="shared" si="6"/>
        <v>331.2</v>
      </c>
      <c r="AU18" s="52">
        <f t="shared" si="6"/>
        <v>331.2</v>
      </c>
      <c r="AV18" s="52">
        <f t="shared" si="6"/>
        <v>331.2</v>
      </c>
      <c r="AW18" s="52">
        <f t="shared" si="6"/>
        <v>331.2</v>
      </c>
      <c r="AX18" s="52">
        <f t="shared" si="6"/>
        <v>331.2</v>
      </c>
      <c r="AY18" s="52">
        <f t="shared" si="6"/>
        <v>331.2</v>
      </c>
      <c r="AZ18" s="52">
        <f t="shared" si="6"/>
        <v>331.2</v>
      </c>
      <c r="BA18" s="52">
        <f t="shared" si="6"/>
        <v>331.2</v>
      </c>
      <c r="BB18" s="52">
        <f t="shared" si="6"/>
        <v>331.2</v>
      </c>
      <c r="BC18" s="52">
        <f t="shared" si="6"/>
        <v>331.2</v>
      </c>
      <c r="BD18" s="52">
        <f t="shared" si="6"/>
        <v>331.2</v>
      </c>
      <c r="BE18" s="52">
        <f t="shared" si="6"/>
        <v>331.2</v>
      </c>
      <c r="BF18" s="52">
        <f t="shared" si="6"/>
        <v>331.2</v>
      </c>
      <c r="BG18" s="52">
        <f t="shared" si="6"/>
        <v>331.2</v>
      </c>
      <c r="BH18" s="52">
        <f t="shared" si="6"/>
        <v>331.2</v>
      </c>
      <c r="BI18" s="52">
        <f t="shared" si="6"/>
        <v>331.2</v>
      </c>
      <c r="BJ18" s="52">
        <f t="shared" si="6"/>
        <v>331.2</v>
      </c>
      <c r="BK18" s="52">
        <f t="shared" si="6"/>
        <v>331.2</v>
      </c>
      <c r="BL18" s="52">
        <f t="shared" si="6"/>
        <v>331.2</v>
      </c>
      <c r="BM18" s="52">
        <f t="shared" si="6"/>
        <v>331.2</v>
      </c>
      <c r="BN18" s="52">
        <f t="shared" si="6"/>
        <v>331.2</v>
      </c>
      <c r="BO18" s="52">
        <f t="shared" ref="BO18:BY18" si="7">+BO16+BO17</f>
        <v>331.2</v>
      </c>
      <c r="BP18" s="52">
        <f t="shared" si="7"/>
        <v>331.2</v>
      </c>
      <c r="BQ18" s="52">
        <f t="shared" si="7"/>
        <v>331.2</v>
      </c>
      <c r="BR18" s="52">
        <f t="shared" si="7"/>
        <v>331.2</v>
      </c>
      <c r="BS18" s="52">
        <f t="shared" si="7"/>
        <v>331.2</v>
      </c>
      <c r="BT18" s="52">
        <f t="shared" si="7"/>
        <v>331.2</v>
      </c>
      <c r="BU18" s="52">
        <f t="shared" si="7"/>
        <v>331.2</v>
      </c>
      <c r="BV18" s="52">
        <f t="shared" si="7"/>
        <v>331.2</v>
      </c>
      <c r="BW18" s="52">
        <f t="shared" si="7"/>
        <v>331.2</v>
      </c>
      <c r="BX18" s="52">
        <f t="shared" si="7"/>
        <v>331.2</v>
      </c>
      <c r="BY18" s="52">
        <f t="shared" si="7"/>
        <v>331.2</v>
      </c>
    </row>
    <row r="20" spans="2:77">
      <c r="B20">
        <v>10907.5</v>
      </c>
      <c r="C20">
        <v>10920.9</v>
      </c>
      <c r="D20">
        <v>10993</v>
      </c>
      <c r="E20">
        <v>10790.1</v>
      </c>
      <c r="F20">
        <v>12236.9</v>
      </c>
      <c r="G20">
        <v>12239.1</v>
      </c>
      <c r="H20">
        <v>12240.900000000001</v>
      </c>
      <c r="I20">
        <v>12289.900000000001</v>
      </c>
      <c r="J20">
        <v>12302.2</v>
      </c>
      <c r="K20">
        <v>12483</v>
      </c>
      <c r="L20">
        <v>12586.5</v>
      </c>
      <c r="M20">
        <v>12616.900000000001</v>
      </c>
      <c r="N20">
        <v>12594.100000000002</v>
      </c>
      <c r="O20">
        <v>12662.400000000001</v>
      </c>
      <c r="P20">
        <v>12652.000000000002</v>
      </c>
      <c r="Q20">
        <v>13410.800000000001</v>
      </c>
      <c r="R20">
        <v>13304.5</v>
      </c>
      <c r="S20">
        <v>13423.7</v>
      </c>
      <c r="T20">
        <v>13507.6</v>
      </c>
      <c r="U20">
        <v>13508.8</v>
      </c>
      <c r="V20">
        <v>14321.099999999997</v>
      </c>
      <c r="W20">
        <v>14482.199999999999</v>
      </c>
      <c r="X20">
        <v>14560.699999999997</v>
      </c>
      <c r="Y20">
        <v>14624.399999999998</v>
      </c>
      <c r="Z20">
        <v>14709.8</v>
      </c>
      <c r="AA20">
        <v>14784.299999999997</v>
      </c>
      <c r="AB20">
        <v>15125.099999999999</v>
      </c>
      <c r="AC20">
        <v>15651.899999999998</v>
      </c>
      <c r="AD20">
        <v>15870.999999999998</v>
      </c>
      <c r="AE20">
        <v>16044.899999999998</v>
      </c>
      <c r="AF20">
        <v>16074.599999999999</v>
      </c>
      <c r="AG20">
        <v>16644.899999999998</v>
      </c>
      <c r="AH20">
        <v>17079.399999999998</v>
      </c>
      <c r="AI20">
        <v>17059.8</v>
      </c>
      <c r="AJ20">
        <v>16817.899999999998</v>
      </c>
      <c r="AK20">
        <v>16858.099999999999</v>
      </c>
      <c r="AL20">
        <v>16324.9</v>
      </c>
      <c r="AM20">
        <v>16640</v>
      </c>
      <c r="AN20">
        <v>16759.699999999997</v>
      </c>
      <c r="AO20">
        <v>17534.899999999998</v>
      </c>
      <c r="AP20">
        <v>17389.899999999998</v>
      </c>
      <c r="AQ20">
        <v>17622.199999999997</v>
      </c>
      <c r="AR20">
        <v>18043.599999999999</v>
      </c>
      <c r="AS20">
        <v>18869.5</v>
      </c>
      <c r="AT20">
        <v>19096.5</v>
      </c>
      <c r="AU20">
        <v>19511.399999999998</v>
      </c>
      <c r="AV20">
        <v>19455.2</v>
      </c>
      <c r="AW20">
        <v>19529.7</v>
      </c>
      <c r="AX20">
        <v>20549.899999999998</v>
      </c>
      <c r="AY20">
        <v>20795.199999999997</v>
      </c>
      <c r="AZ20">
        <v>20918.899999999998</v>
      </c>
      <c r="BA20">
        <v>21203.5</v>
      </c>
      <c r="BB20">
        <v>21439.8</v>
      </c>
      <c r="BC20">
        <v>21510.699999999997</v>
      </c>
      <c r="BD20">
        <v>21645.5</v>
      </c>
      <c r="BE20">
        <v>21649.9</v>
      </c>
      <c r="BF20">
        <v>22334.400000000001</v>
      </c>
      <c r="BG20">
        <v>21877.1</v>
      </c>
      <c r="BH20">
        <v>21714.799999999999</v>
      </c>
      <c r="BI20">
        <v>22120.6</v>
      </c>
      <c r="BJ20">
        <v>22032</v>
      </c>
      <c r="BK20">
        <v>22229.5</v>
      </c>
      <c r="BL20">
        <v>22697.5</v>
      </c>
      <c r="BM20">
        <v>23741.599999999999</v>
      </c>
      <c r="BN20">
        <v>24221.1</v>
      </c>
      <c r="BO20">
        <v>24356.400000000001</v>
      </c>
      <c r="BP20">
        <v>24347</v>
      </c>
      <c r="BQ20">
        <v>24303</v>
      </c>
      <c r="BR20">
        <v>25026.799999999999</v>
      </c>
      <c r="BS20">
        <v>25049.5</v>
      </c>
      <c r="BT20">
        <v>25020.999999999996</v>
      </c>
      <c r="BU20">
        <v>25381.1</v>
      </c>
      <c r="BV20">
        <v>26602</v>
      </c>
      <c r="BW20">
        <v>26961.199999999997</v>
      </c>
      <c r="BX20">
        <v>25047.599999999999</v>
      </c>
      <c r="BY20">
        <v>24788.600000000002</v>
      </c>
    </row>
    <row r="21" spans="2:77">
      <c r="B21">
        <v>-149</v>
      </c>
      <c r="C21">
        <v>-62.599999999999994</v>
      </c>
      <c r="D21">
        <v>-2.4000000000000057</v>
      </c>
      <c r="E21">
        <v>245.3</v>
      </c>
      <c r="F21">
        <v>261.3</v>
      </c>
      <c r="G21">
        <v>360.7</v>
      </c>
      <c r="H21">
        <v>512.20000000000005</v>
      </c>
      <c r="I21">
        <v>473.4</v>
      </c>
      <c r="J21">
        <v>565.20000000000005</v>
      </c>
      <c r="K21">
        <v>645.6</v>
      </c>
      <c r="L21">
        <v>754.4</v>
      </c>
      <c r="M21">
        <v>834</v>
      </c>
      <c r="N21">
        <v>945.2</v>
      </c>
      <c r="O21">
        <v>1000</v>
      </c>
      <c r="P21">
        <v>1119.5999999999999</v>
      </c>
      <c r="Q21">
        <v>208.5</v>
      </c>
      <c r="R21">
        <v>371.4</v>
      </c>
      <c r="S21">
        <v>381.1</v>
      </c>
      <c r="T21">
        <v>446.1</v>
      </c>
      <c r="U21">
        <v>542.1</v>
      </c>
      <c r="V21">
        <v>591.9</v>
      </c>
      <c r="W21">
        <v>565.1</v>
      </c>
      <c r="X21">
        <v>621.1</v>
      </c>
      <c r="Y21">
        <v>655.6</v>
      </c>
      <c r="Z21">
        <v>581.79999999999995</v>
      </c>
      <c r="AA21">
        <v>621</v>
      </c>
      <c r="AB21">
        <v>337.4</v>
      </c>
      <c r="AC21">
        <v>-196.1</v>
      </c>
      <c r="AD21">
        <v>-239.4</v>
      </c>
      <c r="AE21">
        <v>-196.8</v>
      </c>
      <c r="AF21">
        <v>-45.5</v>
      </c>
      <c r="AG21">
        <v>2</v>
      </c>
      <c r="AH21">
        <v>-264.89999999999998</v>
      </c>
      <c r="AI21">
        <v>0</v>
      </c>
      <c r="AJ21">
        <v>329.8</v>
      </c>
      <c r="AK21">
        <v>443.7</v>
      </c>
      <c r="AL21">
        <v>1139.3</v>
      </c>
      <c r="AM21">
        <v>977.3</v>
      </c>
      <c r="AN21">
        <v>1030</v>
      </c>
      <c r="AO21">
        <v>60.3</v>
      </c>
      <c r="AP21">
        <v>307.10000000000002</v>
      </c>
      <c r="AQ21">
        <v>171.6</v>
      </c>
      <c r="AR21">
        <v>68.7</v>
      </c>
      <c r="AS21">
        <v>-377.6</v>
      </c>
      <c r="AT21">
        <v>-438.9</v>
      </c>
      <c r="AU21">
        <v>-676.8</v>
      </c>
      <c r="AV21">
        <v>-403.6</v>
      </c>
      <c r="AW21">
        <v>-103.8</v>
      </c>
      <c r="AX21">
        <v>200.6</v>
      </c>
      <c r="AY21">
        <v>199.6</v>
      </c>
      <c r="AZ21">
        <v>189.4</v>
      </c>
      <c r="BA21">
        <v>11.4</v>
      </c>
      <c r="BB21">
        <v>-60.9</v>
      </c>
      <c r="BC21">
        <v>-114.4</v>
      </c>
      <c r="BD21">
        <v>-350.3</v>
      </c>
      <c r="BE21">
        <v>-210.2</v>
      </c>
      <c r="BF21">
        <v>-255.6</v>
      </c>
      <c r="BG21">
        <v>257.89999999999998</v>
      </c>
      <c r="BH21">
        <v>420.9</v>
      </c>
      <c r="BI21">
        <v>1285.2</v>
      </c>
      <c r="BJ21">
        <v>1336.5</v>
      </c>
      <c r="BK21">
        <v>1344.3</v>
      </c>
      <c r="BL21">
        <v>1604.3</v>
      </c>
      <c r="BM21">
        <v>319.39999999999998</v>
      </c>
      <c r="BN21">
        <v>376.1</v>
      </c>
      <c r="BO21">
        <v>437.8</v>
      </c>
      <c r="BP21">
        <v>577.1</v>
      </c>
      <c r="BQ21">
        <v>764.6</v>
      </c>
      <c r="BR21">
        <v>875.4</v>
      </c>
      <c r="BS21">
        <v>1138.2</v>
      </c>
      <c r="BT21">
        <v>1356.9</v>
      </c>
      <c r="BU21">
        <v>1339.8</v>
      </c>
      <c r="BV21">
        <v>595.6</v>
      </c>
      <c r="BW21">
        <v>455.3</v>
      </c>
      <c r="BX21">
        <v>430.3</v>
      </c>
      <c r="BY21">
        <v>777.1</v>
      </c>
    </row>
    <row r="22" spans="2:77">
      <c r="B22">
        <v>8388.5</v>
      </c>
      <c r="C22">
        <v>8451.4000000000015</v>
      </c>
      <c r="D22">
        <v>8498.2999999999993</v>
      </c>
      <c r="E22">
        <v>8430.6000000000022</v>
      </c>
      <c r="F22">
        <v>8490.6</v>
      </c>
      <c r="G22">
        <v>8730.0000000000018</v>
      </c>
      <c r="H22">
        <v>8886.5</v>
      </c>
      <c r="I22">
        <v>8958</v>
      </c>
      <c r="J22">
        <v>9071.4</v>
      </c>
      <c r="K22">
        <v>9247.5</v>
      </c>
      <c r="L22">
        <v>9537.7999999999993</v>
      </c>
      <c r="M22">
        <v>9661.5</v>
      </c>
      <c r="N22">
        <v>9670.9</v>
      </c>
      <c r="O22">
        <v>9725.5</v>
      </c>
      <c r="P22">
        <v>9864.7000000000007</v>
      </c>
      <c r="Q22">
        <v>9776.5000000000018</v>
      </c>
      <c r="R22">
        <v>9908.2999999999993</v>
      </c>
      <c r="S22">
        <v>10088.799999999999</v>
      </c>
      <c r="T22">
        <v>10122.700000000001</v>
      </c>
      <c r="U22">
        <v>10195.500000000002</v>
      </c>
      <c r="V22">
        <v>10277.700000000001</v>
      </c>
      <c r="W22">
        <v>10342.800000000001</v>
      </c>
      <c r="X22">
        <v>10543.6</v>
      </c>
      <c r="Y22">
        <v>10726.1</v>
      </c>
      <c r="Z22">
        <v>10875.2</v>
      </c>
      <c r="AA22">
        <v>10850.900000000001</v>
      </c>
      <c r="AB22">
        <v>10819.8</v>
      </c>
      <c r="AC22">
        <v>10746</v>
      </c>
      <c r="AD22">
        <v>10947</v>
      </c>
      <c r="AE22">
        <v>11257.5</v>
      </c>
      <c r="AF22">
        <v>11178.5</v>
      </c>
      <c r="AG22">
        <v>11263.599999999999</v>
      </c>
      <c r="AH22">
        <v>11232.199999999999</v>
      </c>
      <c r="AI22">
        <v>11456.4</v>
      </c>
      <c r="AJ22">
        <v>11636.399999999998</v>
      </c>
      <c r="AK22">
        <v>11799</v>
      </c>
      <c r="AL22">
        <v>12371.199999999999</v>
      </c>
      <c r="AM22">
        <v>12214.3</v>
      </c>
      <c r="AN22">
        <v>12242.199999999999</v>
      </c>
      <c r="AO22">
        <v>11694.6</v>
      </c>
      <c r="AP22">
        <v>11686.199999999999</v>
      </c>
      <c r="AQ22">
        <v>11731.1</v>
      </c>
      <c r="AR22">
        <v>11556.499999999998</v>
      </c>
      <c r="AS22">
        <v>11923.8</v>
      </c>
      <c r="AT22">
        <v>12001.9</v>
      </c>
      <c r="AU22">
        <v>12271</v>
      </c>
      <c r="AV22">
        <v>12564.4</v>
      </c>
      <c r="AW22">
        <v>12690.8</v>
      </c>
      <c r="AX22">
        <v>12733.7</v>
      </c>
      <c r="AY22">
        <v>12776.4</v>
      </c>
      <c r="AZ22">
        <v>12826.7</v>
      </c>
      <c r="BA22">
        <v>11801.8</v>
      </c>
      <c r="BB22">
        <v>13537.999999999998</v>
      </c>
      <c r="BC22">
        <v>13433.099999999999</v>
      </c>
      <c r="BD22">
        <v>14129.1</v>
      </c>
      <c r="BE22">
        <v>14220.2</v>
      </c>
      <c r="BF22">
        <v>15295.7</v>
      </c>
      <c r="BG22">
        <v>15611.1</v>
      </c>
      <c r="BH22">
        <v>15733.300000000001</v>
      </c>
      <c r="BI22">
        <v>18378.599999999999</v>
      </c>
      <c r="BJ22">
        <v>18848.7</v>
      </c>
      <c r="BK22">
        <v>18878.2</v>
      </c>
      <c r="BL22">
        <v>18754.699999999997</v>
      </c>
      <c r="BM22">
        <v>18459.599999999999</v>
      </c>
      <c r="BN22">
        <v>18660.099999999999</v>
      </c>
      <c r="BO22">
        <v>19625.599999999999</v>
      </c>
      <c r="BP22">
        <v>19779.3</v>
      </c>
      <c r="BQ22">
        <v>19812.2</v>
      </c>
      <c r="BR22">
        <v>20027</v>
      </c>
      <c r="BS22">
        <v>20322.2</v>
      </c>
      <c r="BT22">
        <v>20684.7</v>
      </c>
      <c r="BU22">
        <v>20725.2</v>
      </c>
      <c r="BV22">
        <v>20947.8</v>
      </c>
      <c r="BW22">
        <v>21015.200000000001</v>
      </c>
      <c r="BX22">
        <v>21108</v>
      </c>
      <c r="BY22">
        <v>19740.300000000003</v>
      </c>
    </row>
    <row r="23" spans="2:77">
      <c r="B23">
        <v>1079.0999999999999</v>
      </c>
      <c r="C23">
        <v>1130</v>
      </c>
      <c r="D23">
        <v>1171.8</v>
      </c>
      <c r="E23">
        <v>209.2</v>
      </c>
      <c r="F23">
        <v>265</v>
      </c>
      <c r="G23">
        <v>496.1</v>
      </c>
      <c r="H23">
        <v>636.40000000000009</v>
      </c>
      <c r="I23">
        <v>690.5</v>
      </c>
      <c r="J23">
        <v>804.80000000000007</v>
      </c>
      <c r="K23">
        <v>978.30000000000007</v>
      </c>
      <c r="L23">
        <v>1252.3</v>
      </c>
      <c r="M23">
        <v>1370.3</v>
      </c>
      <c r="N23">
        <v>1377.4</v>
      </c>
      <c r="O23">
        <v>1431.4</v>
      </c>
      <c r="P23">
        <v>1569.9</v>
      </c>
      <c r="Q23">
        <v>370.1</v>
      </c>
      <c r="R23">
        <v>498.8</v>
      </c>
      <c r="S23">
        <v>662.8</v>
      </c>
      <c r="T23">
        <v>694</v>
      </c>
      <c r="U23">
        <v>749.19999999999993</v>
      </c>
      <c r="V23">
        <v>836.19999999999993</v>
      </c>
      <c r="W23">
        <v>900</v>
      </c>
      <c r="X23">
        <v>1104.6000000000001</v>
      </c>
      <c r="Y23">
        <v>1280.9000000000001</v>
      </c>
      <c r="Z23">
        <v>1427.1000000000001</v>
      </c>
      <c r="AA23">
        <v>1401</v>
      </c>
      <c r="AB23">
        <v>1367.3</v>
      </c>
      <c r="AC23">
        <v>224.5</v>
      </c>
      <c r="AD23">
        <v>404</v>
      </c>
      <c r="AE23">
        <v>705.7</v>
      </c>
      <c r="AF23">
        <v>622.5</v>
      </c>
      <c r="AG23">
        <v>697.5</v>
      </c>
      <c r="AH23">
        <v>828.80000000000007</v>
      </c>
      <c r="AI23">
        <v>1055.0999999999999</v>
      </c>
      <c r="AJ23">
        <v>1232.8</v>
      </c>
      <c r="AK23">
        <v>1385.6</v>
      </c>
      <c r="AL23">
        <v>1624.5</v>
      </c>
      <c r="AM23">
        <v>1453.1000000000001</v>
      </c>
      <c r="AN23">
        <v>1473.1000000000001</v>
      </c>
      <c r="AO23">
        <v>136</v>
      </c>
      <c r="AP23">
        <v>112.8</v>
      </c>
      <c r="AQ23">
        <v>143.1</v>
      </c>
      <c r="AR23">
        <v>-251.7</v>
      </c>
      <c r="AS23">
        <v>253.5</v>
      </c>
      <c r="AT23">
        <v>316.3</v>
      </c>
      <c r="AU23">
        <v>576.4</v>
      </c>
      <c r="AV23">
        <v>849.4</v>
      </c>
      <c r="AW23">
        <v>966.8</v>
      </c>
      <c r="AX23">
        <v>1003.6</v>
      </c>
      <c r="AY23">
        <v>1049.9000000000001</v>
      </c>
      <c r="AZ23">
        <v>1104.7</v>
      </c>
      <c r="BA23">
        <v>74.599999999999994</v>
      </c>
      <c r="BB23">
        <v>22.8</v>
      </c>
      <c r="BC23">
        <v>-100.2</v>
      </c>
      <c r="BD23">
        <v>607.20000000000005</v>
      </c>
      <c r="BE23">
        <v>695.6</v>
      </c>
      <c r="BF23">
        <v>840.6</v>
      </c>
      <c r="BG23">
        <v>974.4</v>
      </c>
      <c r="BH23">
        <v>1110.4000000000001</v>
      </c>
      <c r="BI23">
        <v>1040.5999999999999</v>
      </c>
      <c r="BJ23">
        <v>1210.2</v>
      </c>
      <c r="BK23">
        <v>1183.5</v>
      </c>
      <c r="BL23">
        <v>1027.5999999999999</v>
      </c>
      <c r="BM23">
        <v>54</v>
      </c>
      <c r="BN23">
        <v>254.5</v>
      </c>
      <c r="BO23">
        <v>561.1</v>
      </c>
      <c r="BP23">
        <v>714.8</v>
      </c>
      <c r="BQ23">
        <v>747.7</v>
      </c>
      <c r="BR23">
        <v>962.5</v>
      </c>
      <c r="BS23">
        <v>1257.7</v>
      </c>
      <c r="BT23">
        <v>1620.3</v>
      </c>
      <c r="BU23">
        <v>1660.7</v>
      </c>
      <c r="BV23">
        <v>1883.3</v>
      </c>
      <c r="BW23">
        <v>1950.6999999999998</v>
      </c>
      <c r="BX23">
        <v>2043.5</v>
      </c>
      <c r="BY23">
        <v>128.9</v>
      </c>
    </row>
    <row r="24" spans="2:77">
      <c r="B24">
        <v>2587.6999999999998</v>
      </c>
      <c r="C24">
        <v>3118.9000000000005</v>
      </c>
      <c r="D24">
        <v>2344.5</v>
      </c>
      <c r="E24">
        <v>2619.5</v>
      </c>
      <c r="F24">
        <v>2439.5</v>
      </c>
      <c r="G24">
        <v>2460.1</v>
      </c>
      <c r="H24">
        <v>2594</v>
      </c>
      <c r="I24">
        <v>2765.2000000000003</v>
      </c>
      <c r="J24">
        <v>2930</v>
      </c>
      <c r="K24">
        <v>2776.1000000000004</v>
      </c>
      <c r="L24">
        <v>2809.4</v>
      </c>
      <c r="M24">
        <v>3054.2999999999997</v>
      </c>
      <c r="N24">
        <v>3394.7000000000003</v>
      </c>
      <c r="O24">
        <v>2418.5</v>
      </c>
      <c r="P24">
        <v>2398.1</v>
      </c>
      <c r="Q24">
        <v>2835</v>
      </c>
      <c r="R24">
        <v>2627.7</v>
      </c>
      <c r="S24">
        <v>3115.8</v>
      </c>
      <c r="T24">
        <v>3057.2</v>
      </c>
      <c r="U24">
        <v>3392.5</v>
      </c>
      <c r="V24">
        <v>3550</v>
      </c>
      <c r="W24">
        <v>3689.9</v>
      </c>
      <c r="X24">
        <v>4016.8999999999996</v>
      </c>
      <c r="Y24">
        <v>4132.6000000000004</v>
      </c>
      <c r="Z24">
        <v>3892.6</v>
      </c>
      <c r="AA24">
        <v>2846.5</v>
      </c>
      <c r="AB24">
        <v>3221.6000000000004</v>
      </c>
      <c r="AC24">
        <v>3787.2</v>
      </c>
      <c r="AD24">
        <v>3338.8999999999996</v>
      </c>
      <c r="AE24">
        <v>3456.2</v>
      </c>
      <c r="AF24">
        <v>3832.5</v>
      </c>
      <c r="AG24">
        <v>4313.8999999999996</v>
      </c>
      <c r="AH24">
        <v>4623</v>
      </c>
      <c r="AI24">
        <v>5090.8</v>
      </c>
      <c r="AJ24">
        <v>5696.5999999999995</v>
      </c>
      <c r="AK24">
        <v>6152.5</v>
      </c>
      <c r="AL24">
        <v>5602.6</v>
      </c>
      <c r="AM24">
        <v>4425.1000000000004</v>
      </c>
      <c r="AN24">
        <v>4732.4000000000005</v>
      </c>
      <c r="AO24">
        <v>5511.6</v>
      </c>
      <c r="AP24">
        <v>5785.8</v>
      </c>
      <c r="AQ24">
        <v>5778.5</v>
      </c>
      <c r="AR24">
        <v>6422.4000000000005</v>
      </c>
      <c r="AS24">
        <v>6557.5</v>
      </c>
      <c r="AT24">
        <v>7022.6</v>
      </c>
      <c r="AU24">
        <v>7085.7999999999993</v>
      </c>
      <c r="AV24">
        <v>7228</v>
      </c>
      <c r="AW24">
        <v>7620.7999999999993</v>
      </c>
      <c r="AX24">
        <v>7633.5999999999985</v>
      </c>
      <c r="AY24">
        <v>6595.3</v>
      </c>
      <c r="AZ24">
        <v>7019.2999999999993</v>
      </c>
      <c r="BA24">
        <v>7926.5</v>
      </c>
      <c r="BB24">
        <v>8529.9</v>
      </c>
      <c r="BC24">
        <v>9270.1</v>
      </c>
      <c r="BD24">
        <v>9342.2999999999993</v>
      </c>
      <c r="BE24">
        <v>9743.6</v>
      </c>
      <c r="BF24">
        <v>10042.900000000001</v>
      </c>
      <c r="BG24">
        <v>10769.999999999998</v>
      </c>
      <c r="BH24">
        <v>11233.5</v>
      </c>
      <c r="BI24">
        <v>8674.5</v>
      </c>
      <c r="BJ24">
        <v>8792.7000000000007</v>
      </c>
      <c r="BK24">
        <v>10233.4</v>
      </c>
      <c r="BL24">
        <v>10819.800000000001</v>
      </c>
      <c r="BM24">
        <v>11948.800000000001</v>
      </c>
      <c r="BN24">
        <v>11679.1</v>
      </c>
      <c r="BO24">
        <v>11671.4</v>
      </c>
      <c r="BP24">
        <v>11165.5</v>
      </c>
      <c r="BQ24">
        <v>11629.5</v>
      </c>
      <c r="BR24">
        <v>12256.400000000001</v>
      </c>
      <c r="BS24">
        <v>11931.8</v>
      </c>
      <c r="BT24">
        <v>12091.800000000001</v>
      </c>
      <c r="BU24">
        <v>12516.9</v>
      </c>
      <c r="BV24">
        <v>12799.199999999999</v>
      </c>
      <c r="BW24">
        <v>12760.3</v>
      </c>
      <c r="BX24">
        <v>12758</v>
      </c>
      <c r="BY24">
        <v>14034.2</v>
      </c>
    </row>
    <row r="25" spans="2:77" s="52" customFormat="1">
      <c r="B25" s="52">
        <f>+B24+B23+B22+B21+B20</f>
        <v>22813.8</v>
      </c>
      <c r="C25" s="52">
        <f t="shared" ref="C25:BN25" si="8">+C24+C23+C22+C21+C20</f>
        <v>23558.600000000002</v>
      </c>
      <c r="D25" s="52">
        <f t="shared" si="8"/>
        <v>23005.199999999997</v>
      </c>
      <c r="E25" s="52">
        <f t="shared" si="8"/>
        <v>22294.700000000004</v>
      </c>
      <c r="F25" s="52">
        <f t="shared" si="8"/>
        <v>23693.3</v>
      </c>
      <c r="G25" s="52">
        <f t="shared" si="8"/>
        <v>24286</v>
      </c>
      <c r="H25" s="52">
        <f t="shared" si="8"/>
        <v>24870</v>
      </c>
      <c r="I25" s="52">
        <f t="shared" si="8"/>
        <v>25177</v>
      </c>
      <c r="J25" s="52">
        <f t="shared" si="8"/>
        <v>25673.600000000002</v>
      </c>
      <c r="K25" s="52">
        <f t="shared" si="8"/>
        <v>26130.5</v>
      </c>
      <c r="L25" s="52">
        <f t="shared" si="8"/>
        <v>26940.400000000001</v>
      </c>
      <c r="M25" s="52">
        <f t="shared" si="8"/>
        <v>27537</v>
      </c>
      <c r="N25" s="52">
        <f t="shared" si="8"/>
        <v>27982.300000000003</v>
      </c>
      <c r="O25" s="52">
        <f t="shared" si="8"/>
        <v>27237.800000000003</v>
      </c>
      <c r="P25" s="52">
        <f t="shared" si="8"/>
        <v>27604.300000000003</v>
      </c>
      <c r="Q25" s="52">
        <f t="shared" si="8"/>
        <v>26600.9</v>
      </c>
      <c r="R25" s="52">
        <f t="shared" si="8"/>
        <v>26710.699999999997</v>
      </c>
      <c r="S25" s="52">
        <f t="shared" si="8"/>
        <v>27672.2</v>
      </c>
      <c r="T25" s="52">
        <f t="shared" si="8"/>
        <v>27827.600000000002</v>
      </c>
      <c r="U25" s="52">
        <f t="shared" si="8"/>
        <v>28388.1</v>
      </c>
      <c r="V25" s="52">
        <f t="shared" si="8"/>
        <v>29576.899999999998</v>
      </c>
      <c r="W25" s="52">
        <f t="shared" si="8"/>
        <v>29980</v>
      </c>
      <c r="X25" s="52">
        <f t="shared" si="8"/>
        <v>30846.899999999998</v>
      </c>
      <c r="Y25" s="52">
        <f t="shared" si="8"/>
        <v>31419.599999999999</v>
      </c>
      <c r="Z25" s="52">
        <f t="shared" si="8"/>
        <v>31486.5</v>
      </c>
      <c r="AA25" s="52">
        <f t="shared" si="8"/>
        <v>30503.699999999997</v>
      </c>
      <c r="AB25" s="52">
        <f t="shared" si="8"/>
        <v>30871.199999999997</v>
      </c>
      <c r="AC25" s="52">
        <f t="shared" si="8"/>
        <v>30213.5</v>
      </c>
      <c r="AD25" s="52">
        <f t="shared" si="8"/>
        <v>30321.5</v>
      </c>
      <c r="AE25" s="52">
        <f t="shared" si="8"/>
        <v>31267.5</v>
      </c>
      <c r="AF25" s="52">
        <f t="shared" si="8"/>
        <v>31662.6</v>
      </c>
      <c r="AG25" s="52">
        <f t="shared" si="8"/>
        <v>32921.899999999994</v>
      </c>
      <c r="AH25" s="52">
        <f t="shared" si="8"/>
        <v>33498.5</v>
      </c>
      <c r="AI25" s="52">
        <f t="shared" si="8"/>
        <v>34662.1</v>
      </c>
      <c r="AJ25" s="52">
        <f t="shared" si="8"/>
        <v>35713.499999999993</v>
      </c>
      <c r="AK25" s="52">
        <f t="shared" si="8"/>
        <v>36638.899999999994</v>
      </c>
      <c r="AL25" s="52">
        <f t="shared" si="8"/>
        <v>37062.5</v>
      </c>
      <c r="AM25" s="52">
        <f t="shared" si="8"/>
        <v>35709.800000000003</v>
      </c>
      <c r="AN25" s="52">
        <f t="shared" si="8"/>
        <v>36237.399999999994</v>
      </c>
      <c r="AO25" s="52">
        <f t="shared" si="8"/>
        <v>34937.399999999994</v>
      </c>
      <c r="AP25" s="52">
        <f t="shared" si="8"/>
        <v>35281.799999999996</v>
      </c>
      <c r="AQ25" s="52">
        <f t="shared" si="8"/>
        <v>35446.5</v>
      </c>
      <c r="AR25" s="52">
        <f t="shared" si="8"/>
        <v>35839.5</v>
      </c>
      <c r="AS25" s="52">
        <f t="shared" si="8"/>
        <v>37226.699999999997</v>
      </c>
      <c r="AT25" s="52">
        <f t="shared" si="8"/>
        <v>37998.399999999994</v>
      </c>
      <c r="AU25" s="52">
        <f t="shared" si="8"/>
        <v>38767.799999999996</v>
      </c>
      <c r="AV25" s="52">
        <f t="shared" si="8"/>
        <v>39693.4</v>
      </c>
      <c r="AW25" s="52">
        <f t="shared" si="8"/>
        <v>40704.300000000003</v>
      </c>
      <c r="AX25" s="52">
        <f t="shared" si="8"/>
        <v>42121.399999999994</v>
      </c>
      <c r="AY25" s="52">
        <f t="shared" si="8"/>
        <v>41416.399999999994</v>
      </c>
      <c r="AZ25" s="52">
        <f t="shared" si="8"/>
        <v>42059</v>
      </c>
      <c r="BA25" s="52">
        <f t="shared" si="8"/>
        <v>41017.800000000003</v>
      </c>
      <c r="BB25" s="52">
        <f t="shared" si="8"/>
        <v>43469.599999999991</v>
      </c>
      <c r="BC25" s="52">
        <f t="shared" si="8"/>
        <v>43999.299999999996</v>
      </c>
      <c r="BD25" s="52">
        <f t="shared" si="8"/>
        <v>45373.8</v>
      </c>
      <c r="BE25" s="52">
        <f t="shared" si="8"/>
        <v>46099.100000000006</v>
      </c>
      <c r="BF25" s="52">
        <f t="shared" si="8"/>
        <v>48258.000000000007</v>
      </c>
      <c r="BG25" s="52">
        <f t="shared" si="8"/>
        <v>49490.5</v>
      </c>
      <c r="BH25" s="52">
        <f t="shared" si="8"/>
        <v>50212.9</v>
      </c>
      <c r="BI25" s="52">
        <f t="shared" si="8"/>
        <v>51499.5</v>
      </c>
      <c r="BJ25" s="52">
        <f t="shared" si="8"/>
        <v>52220.100000000006</v>
      </c>
      <c r="BK25" s="52">
        <f t="shared" si="8"/>
        <v>53868.899999999994</v>
      </c>
      <c r="BL25" s="52">
        <f t="shared" si="8"/>
        <v>54903.899999999994</v>
      </c>
      <c r="BM25" s="52">
        <f t="shared" si="8"/>
        <v>54523.4</v>
      </c>
      <c r="BN25" s="52">
        <f t="shared" si="8"/>
        <v>55190.899999999994</v>
      </c>
      <c r="BO25" s="52">
        <f t="shared" ref="BO25:BY25" si="9">+BO24+BO23+BO22+BO21+BO20</f>
        <v>56652.3</v>
      </c>
      <c r="BP25" s="52">
        <f t="shared" si="9"/>
        <v>56583.7</v>
      </c>
      <c r="BQ25" s="52">
        <f t="shared" si="9"/>
        <v>57257</v>
      </c>
      <c r="BR25" s="52">
        <f t="shared" si="9"/>
        <v>59148.100000000006</v>
      </c>
      <c r="BS25" s="52">
        <f t="shared" si="9"/>
        <v>59699.399999999994</v>
      </c>
      <c r="BT25" s="52">
        <f t="shared" si="9"/>
        <v>60774.7</v>
      </c>
      <c r="BU25" s="52">
        <f t="shared" si="9"/>
        <v>61623.700000000004</v>
      </c>
      <c r="BV25" s="52">
        <f t="shared" si="9"/>
        <v>62827.899999999994</v>
      </c>
      <c r="BW25" s="52">
        <f t="shared" si="9"/>
        <v>63142.7</v>
      </c>
      <c r="BX25" s="52">
        <f t="shared" si="9"/>
        <v>61387.4</v>
      </c>
      <c r="BY25" s="52">
        <f t="shared" si="9"/>
        <v>59469.100000000006</v>
      </c>
    </row>
    <row r="27" spans="2:77">
      <c r="B27">
        <v>2241.4</v>
      </c>
      <c r="C27">
        <v>2085.3000000000002</v>
      </c>
      <c r="D27">
        <v>2466.2999999999997</v>
      </c>
      <c r="E27">
        <v>2358.3000000000002</v>
      </c>
      <c r="F27">
        <v>2223.6999999999998</v>
      </c>
      <c r="G27">
        <v>2689.3</v>
      </c>
      <c r="H27">
        <v>2885.1000000000004</v>
      </c>
      <c r="I27">
        <v>2888.8</v>
      </c>
      <c r="J27">
        <v>2931.3</v>
      </c>
      <c r="K27">
        <v>2829.1000000000004</v>
      </c>
      <c r="L27">
        <v>3017.4</v>
      </c>
      <c r="M27">
        <v>3002.7</v>
      </c>
      <c r="N27">
        <v>2254.6999999999998</v>
      </c>
      <c r="O27">
        <v>2143.5</v>
      </c>
      <c r="P27">
        <v>2212.1999999999998</v>
      </c>
      <c r="Q27">
        <v>2529.7000000000003</v>
      </c>
      <c r="R27">
        <v>2456.1999999999998</v>
      </c>
      <c r="S27">
        <v>2338.5</v>
      </c>
      <c r="T27">
        <v>2433.1999999999998</v>
      </c>
      <c r="U27">
        <v>2693.5</v>
      </c>
      <c r="V27">
        <v>2546.4</v>
      </c>
      <c r="W27">
        <v>2791.1</v>
      </c>
      <c r="X27">
        <v>2979.8</v>
      </c>
      <c r="Y27">
        <v>2916.5</v>
      </c>
      <c r="Z27">
        <v>2461</v>
      </c>
      <c r="AA27">
        <v>2304.5</v>
      </c>
      <c r="AB27">
        <v>2369.4</v>
      </c>
      <c r="AC27">
        <v>2543.1999999999998</v>
      </c>
      <c r="AD27">
        <v>2526.1000000000004</v>
      </c>
      <c r="AE27">
        <v>2542.6999999999998</v>
      </c>
      <c r="AF27">
        <v>2600.6999999999998</v>
      </c>
      <c r="AG27">
        <v>2874.5</v>
      </c>
      <c r="AH27">
        <v>2999.4</v>
      </c>
      <c r="AI27">
        <v>2911.3</v>
      </c>
      <c r="AJ27">
        <v>3665.2</v>
      </c>
      <c r="AK27">
        <v>3226</v>
      </c>
      <c r="AL27">
        <v>2553.1</v>
      </c>
      <c r="AM27">
        <v>3002.1</v>
      </c>
      <c r="AN27">
        <v>2543.5</v>
      </c>
      <c r="AO27">
        <v>2813.6000000000004</v>
      </c>
      <c r="AP27">
        <v>2867.7</v>
      </c>
      <c r="AQ27">
        <v>2987.6</v>
      </c>
      <c r="AR27">
        <v>3037.2999999999997</v>
      </c>
      <c r="AS27">
        <v>2968.3</v>
      </c>
      <c r="AT27">
        <v>3040</v>
      </c>
      <c r="AU27">
        <v>3204.3</v>
      </c>
      <c r="AV27">
        <v>3226.4</v>
      </c>
      <c r="AW27">
        <v>3259.5</v>
      </c>
      <c r="AX27">
        <v>3322.2</v>
      </c>
      <c r="AY27">
        <v>3270</v>
      </c>
      <c r="AZ27">
        <v>3140.5</v>
      </c>
      <c r="BA27">
        <v>3835.9</v>
      </c>
      <c r="BB27">
        <v>3562.1</v>
      </c>
      <c r="BC27">
        <v>3761.9</v>
      </c>
      <c r="BD27">
        <v>3876.9</v>
      </c>
      <c r="BE27">
        <v>4346.5999999999995</v>
      </c>
      <c r="BF27">
        <v>4329.3</v>
      </c>
      <c r="BG27">
        <v>4511.7000000000007</v>
      </c>
      <c r="BH27">
        <v>5174.7999999999993</v>
      </c>
      <c r="BI27">
        <v>3556.7000000000003</v>
      </c>
      <c r="BJ27">
        <v>2787.6</v>
      </c>
      <c r="BK27">
        <v>2516.5</v>
      </c>
      <c r="BL27">
        <v>3176.3</v>
      </c>
      <c r="BM27">
        <v>3323.7000000000003</v>
      </c>
      <c r="BN27">
        <v>3398.8999999999996</v>
      </c>
      <c r="BO27">
        <v>3243.0999999999995</v>
      </c>
      <c r="BP27">
        <v>3066</v>
      </c>
      <c r="BQ27">
        <v>3159.6000000000004</v>
      </c>
      <c r="BR27">
        <v>3383.2000000000003</v>
      </c>
      <c r="BS27">
        <v>11716.5</v>
      </c>
      <c r="BT27">
        <v>11710.599999999999</v>
      </c>
      <c r="BU27">
        <v>11660.4</v>
      </c>
      <c r="BV27">
        <v>11606.2</v>
      </c>
      <c r="BW27">
        <v>11358.300000000001</v>
      </c>
      <c r="BX27">
        <v>11262.000000000002</v>
      </c>
      <c r="BY27">
        <v>11430.5</v>
      </c>
    </row>
    <row r="28" spans="2:77">
      <c r="B28">
        <v>1902.5</v>
      </c>
      <c r="C28">
        <v>2352.2000000000003</v>
      </c>
      <c r="D28">
        <v>1483.3999999999999</v>
      </c>
      <c r="E28">
        <v>1750.7</v>
      </c>
      <c r="F28">
        <v>1517.1</v>
      </c>
      <c r="G28">
        <v>1618.2</v>
      </c>
      <c r="H28">
        <v>1700.8</v>
      </c>
      <c r="I28">
        <v>1822.6000000000001</v>
      </c>
      <c r="J28">
        <v>1946.1</v>
      </c>
      <c r="K28">
        <v>1807.1000000000001</v>
      </c>
      <c r="L28">
        <v>1887.3</v>
      </c>
      <c r="M28">
        <v>2073.8999999999996</v>
      </c>
      <c r="N28">
        <v>2460.7000000000003</v>
      </c>
      <c r="O28">
        <v>1433.1999999999998</v>
      </c>
      <c r="P28">
        <v>1385.3</v>
      </c>
      <c r="Q28">
        <v>1814.1999999999998</v>
      </c>
      <c r="R28">
        <v>1572.3</v>
      </c>
      <c r="S28">
        <v>2059.4</v>
      </c>
      <c r="T28">
        <v>1972.3999999999999</v>
      </c>
      <c r="U28">
        <v>2230.6</v>
      </c>
      <c r="V28">
        <v>2312.1</v>
      </c>
      <c r="W28">
        <v>2320.3000000000002</v>
      </c>
      <c r="X28">
        <v>2702.7</v>
      </c>
      <c r="Y28">
        <v>2815.3000000000006</v>
      </c>
      <c r="Z28">
        <v>2576.1</v>
      </c>
      <c r="AA28">
        <v>1312</v>
      </c>
      <c r="AB28">
        <v>1550.3</v>
      </c>
      <c r="AC28">
        <v>2178.1</v>
      </c>
      <c r="AD28">
        <v>1693.6</v>
      </c>
      <c r="AE28">
        <v>1916.9999999999998</v>
      </c>
      <c r="AF28">
        <v>2154.1</v>
      </c>
      <c r="AG28">
        <v>2500.7999999999997</v>
      </c>
      <c r="AH28">
        <v>2570.3000000000002</v>
      </c>
      <c r="AI28">
        <v>3041.3</v>
      </c>
      <c r="AJ28">
        <v>2849.2999999999997</v>
      </c>
      <c r="AK28">
        <v>3137.5</v>
      </c>
      <c r="AL28">
        <v>2492.4000000000005</v>
      </c>
      <c r="AM28">
        <v>1055.5999999999999</v>
      </c>
      <c r="AN28">
        <v>1158.2</v>
      </c>
      <c r="AO28">
        <v>1881.4</v>
      </c>
      <c r="AP28">
        <v>1968.4</v>
      </c>
      <c r="AQ28">
        <v>1759.7000000000003</v>
      </c>
      <c r="AR28">
        <v>2103.5</v>
      </c>
      <c r="AS28">
        <v>2184.6</v>
      </c>
      <c r="AT28">
        <v>2443.5</v>
      </c>
      <c r="AU28">
        <v>2490.4</v>
      </c>
      <c r="AV28">
        <v>2623.7</v>
      </c>
      <c r="AW28">
        <v>2825.7999999999997</v>
      </c>
      <c r="AX28">
        <v>2875.6</v>
      </c>
      <c r="AY28">
        <v>1537.8000000000002</v>
      </c>
      <c r="AZ28">
        <v>1664.5</v>
      </c>
      <c r="BA28">
        <v>1869.9999999999998</v>
      </c>
      <c r="BB28">
        <v>2083.3999999999996</v>
      </c>
      <c r="BC28">
        <v>2541</v>
      </c>
      <c r="BD28">
        <v>2951.6</v>
      </c>
      <c r="BE28">
        <v>3087.4</v>
      </c>
      <c r="BF28">
        <v>3205.3</v>
      </c>
      <c r="BG28">
        <v>3675.6999999999994</v>
      </c>
      <c r="BH28">
        <v>3827.5000000000005</v>
      </c>
      <c r="BI28">
        <v>846.40000000000009</v>
      </c>
      <c r="BJ28">
        <v>816.6</v>
      </c>
      <c r="BK28">
        <v>716.6</v>
      </c>
      <c r="BL28">
        <v>717.09999999999991</v>
      </c>
      <c r="BM28">
        <v>1618.1</v>
      </c>
      <c r="BN28">
        <v>1161.4000000000001</v>
      </c>
      <c r="BO28">
        <v>1355.5</v>
      </c>
      <c r="BP28">
        <v>933.6</v>
      </c>
      <c r="BQ28">
        <v>1084.5999999999999</v>
      </c>
      <c r="BR28">
        <v>1430.7</v>
      </c>
      <c r="BS28">
        <v>995.80000000000007</v>
      </c>
      <c r="BT28">
        <v>825.7</v>
      </c>
      <c r="BU28">
        <v>807.5</v>
      </c>
      <c r="BV28">
        <v>996.4</v>
      </c>
      <c r="BW28">
        <v>679.2</v>
      </c>
      <c r="BX28">
        <v>794.90000000000009</v>
      </c>
      <c r="BY28">
        <v>1803.1</v>
      </c>
    </row>
    <row r="29" spans="2:77" s="52" customFormat="1">
      <c r="B29" s="52">
        <f>+B27+B28</f>
        <v>4143.8999999999996</v>
      </c>
      <c r="C29" s="52">
        <f t="shared" ref="C29:BN29" si="10">+C27+C28</f>
        <v>4437.5</v>
      </c>
      <c r="D29" s="52">
        <f t="shared" si="10"/>
        <v>3949.7</v>
      </c>
      <c r="E29" s="52">
        <f t="shared" si="10"/>
        <v>4109</v>
      </c>
      <c r="F29" s="52">
        <f t="shared" si="10"/>
        <v>3740.7999999999997</v>
      </c>
      <c r="G29" s="52">
        <f t="shared" si="10"/>
        <v>4307.5</v>
      </c>
      <c r="H29" s="52">
        <f t="shared" si="10"/>
        <v>4585.9000000000005</v>
      </c>
      <c r="I29" s="52">
        <f t="shared" si="10"/>
        <v>4711.4000000000005</v>
      </c>
      <c r="J29" s="52">
        <f t="shared" si="10"/>
        <v>4877.3999999999996</v>
      </c>
      <c r="K29" s="52">
        <f t="shared" si="10"/>
        <v>4636.2000000000007</v>
      </c>
      <c r="L29" s="52">
        <f t="shared" si="10"/>
        <v>4904.7</v>
      </c>
      <c r="M29" s="52">
        <f t="shared" si="10"/>
        <v>5076.5999999999995</v>
      </c>
      <c r="N29" s="52">
        <f t="shared" si="10"/>
        <v>4715.3999999999996</v>
      </c>
      <c r="O29" s="52">
        <f t="shared" si="10"/>
        <v>3576.7</v>
      </c>
      <c r="P29" s="52">
        <f t="shared" si="10"/>
        <v>3597.5</v>
      </c>
      <c r="Q29" s="52">
        <f t="shared" si="10"/>
        <v>4343.8999999999996</v>
      </c>
      <c r="R29" s="52">
        <f t="shared" si="10"/>
        <v>4028.5</v>
      </c>
      <c r="S29" s="52">
        <f t="shared" si="10"/>
        <v>4397.8999999999996</v>
      </c>
      <c r="T29" s="52">
        <f t="shared" si="10"/>
        <v>4405.5999999999995</v>
      </c>
      <c r="U29" s="52">
        <f t="shared" si="10"/>
        <v>4924.1000000000004</v>
      </c>
      <c r="V29" s="52">
        <f t="shared" si="10"/>
        <v>4858.5</v>
      </c>
      <c r="W29" s="52">
        <f t="shared" si="10"/>
        <v>5111.3999999999996</v>
      </c>
      <c r="X29" s="52">
        <f t="shared" si="10"/>
        <v>5682.5</v>
      </c>
      <c r="Y29" s="52">
        <f t="shared" si="10"/>
        <v>5731.8000000000011</v>
      </c>
      <c r="Z29" s="52">
        <f t="shared" si="10"/>
        <v>5037.1000000000004</v>
      </c>
      <c r="AA29" s="52">
        <f t="shared" si="10"/>
        <v>3616.5</v>
      </c>
      <c r="AB29" s="52">
        <f t="shared" si="10"/>
        <v>3919.7</v>
      </c>
      <c r="AC29" s="52">
        <f t="shared" si="10"/>
        <v>4721.2999999999993</v>
      </c>
      <c r="AD29" s="52">
        <f t="shared" si="10"/>
        <v>4219.7000000000007</v>
      </c>
      <c r="AE29" s="52">
        <f t="shared" si="10"/>
        <v>4459.7</v>
      </c>
      <c r="AF29" s="52">
        <f t="shared" si="10"/>
        <v>4754.7999999999993</v>
      </c>
      <c r="AG29" s="52">
        <f t="shared" si="10"/>
        <v>5375.2999999999993</v>
      </c>
      <c r="AH29" s="52">
        <f t="shared" si="10"/>
        <v>5569.7000000000007</v>
      </c>
      <c r="AI29" s="52">
        <f t="shared" si="10"/>
        <v>5952.6</v>
      </c>
      <c r="AJ29" s="52">
        <f t="shared" si="10"/>
        <v>6514.5</v>
      </c>
      <c r="AK29" s="52">
        <f t="shared" si="10"/>
        <v>6363.5</v>
      </c>
      <c r="AL29" s="52">
        <f t="shared" si="10"/>
        <v>5045.5</v>
      </c>
      <c r="AM29" s="52">
        <f t="shared" si="10"/>
        <v>4057.7</v>
      </c>
      <c r="AN29" s="52">
        <f t="shared" si="10"/>
        <v>3701.7</v>
      </c>
      <c r="AO29" s="52">
        <f t="shared" si="10"/>
        <v>4695</v>
      </c>
      <c r="AP29" s="52">
        <f t="shared" si="10"/>
        <v>4836.1000000000004</v>
      </c>
      <c r="AQ29" s="52">
        <f t="shared" si="10"/>
        <v>4747.3</v>
      </c>
      <c r="AR29" s="52">
        <f t="shared" si="10"/>
        <v>5140.7999999999993</v>
      </c>
      <c r="AS29" s="52">
        <f t="shared" si="10"/>
        <v>5152.8999999999996</v>
      </c>
      <c r="AT29" s="52">
        <f t="shared" si="10"/>
        <v>5483.5</v>
      </c>
      <c r="AU29" s="52">
        <f t="shared" si="10"/>
        <v>5694.7000000000007</v>
      </c>
      <c r="AV29" s="52">
        <f t="shared" si="10"/>
        <v>5850.1</v>
      </c>
      <c r="AW29" s="52">
        <f t="shared" si="10"/>
        <v>6085.2999999999993</v>
      </c>
      <c r="AX29" s="52">
        <f t="shared" si="10"/>
        <v>6197.7999999999993</v>
      </c>
      <c r="AY29" s="52">
        <f t="shared" si="10"/>
        <v>4807.8</v>
      </c>
      <c r="AZ29" s="52">
        <f t="shared" si="10"/>
        <v>4805</v>
      </c>
      <c r="BA29" s="52">
        <f t="shared" si="10"/>
        <v>5705.9</v>
      </c>
      <c r="BB29" s="52">
        <f t="shared" si="10"/>
        <v>5645.5</v>
      </c>
      <c r="BC29" s="52">
        <f t="shared" si="10"/>
        <v>6302.9</v>
      </c>
      <c r="BD29" s="52">
        <f t="shared" si="10"/>
        <v>6828.5</v>
      </c>
      <c r="BE29" s="52">
        <f t="shared" si="10"/>
        <v>7434</v>
      </c>
      <c r="BF29" s="52">
        <f t="shared" si="10"/>
        <v>7534.6</v>
      </c>
      <c r="BG29" s="52">
        <f t="shared" si="10"/>
        <v>8187.4</v>
      </c>
      <c r="BH29" s="52">
        <f t="shared" si="10"/>
        <v>9002.2999999999993</v>
      </c>
      <c r="BI29" s="52">
        <f t="shared" si="10"/>
        <v>4403.1000000000004</v>
      </c>
      <c r="BJ29" s="52">
        <f t="shared" si="10"/>
        <v>3604.2</v>
      </c>
      <c r="BK29" s="52">
        <f t="shared" si="10"/>
        <v>3233.1</v>
      </c>
      <c r="BL29" s="52">
        <f t="shared" si="10"/>
        <v>3893.4</v>
      </c>
      <c r="BM29" s="52">
        <f t="shared" si="10"/>
        <v>4941.8</v>
      </c>
      <c r="BN29" s="52">
        <f t="shared" si="10"/>
        <v>4560.2999999999993</v>
      </c>
      <c r="BO29" s="52">
        <f t="shared" ref="BO29:BY29" si="11">+BO27+BO28</f>
        <v>4598.5999999999995</v>
      </c>
      <c r="BP29" s="52">
        <f t="shared" si="11"/>
        <v>3999.6</v>
      </c>
      <c r="BQ29" s="52">
        <f t="shared" si="11"/>
        <v>4244.2000000000007</v>
      </c>
      <c r="BR29" s="52">
        <f t="shared" si="11"/>
        <v>4813.9000000000005</v>
      </c>
      <c r="BS29" s="52">
        <f t="shared" si="11"/>
        <v>12712.3</v>
      </c>
      <c r="BT29" s="52">
        <f t="shared" si="11"/>
        <v>12536.3</v>
      </c>
      <c r="BU29" s="52">
        <f t="shared" si="11"/>
        <v>12467.9</v>
      </c>
      <c r="BV29" s="52">
        <f t="shared" si="11"/>
        <v>12602.6</v>
      </c>
      <c r="BW29" s="52">
        <f t="shared" si="11"/>
        <v>12037.500000000002</v>
      </c>
      <c r="BX29" s="52">
        <f t="shared" si="11"/>
        <v>12056.900000000001</v>
      </c>
      <c r="BY29" s="52">
        <f t="shared" si="11"/>
        <v>13233.6</v>
      </c>
    </row>
    <row r="34" spans="2:77">
      <c r="B34">
        <v>10907.5</v>
      </c>
      <c r="C34">
        <v>10920.9</v>
      </c>
      <c r="D34">
        <v>10993</v>
      </c>
      <c r="E34">
        <v>10790.1</v>
      </c>
      <c r="F34">
        <v>12236.9</v>
      </c>
      <c r="G34">
        <v>12239.1</v>
      </c>
      <c r="H34">
        <v>12240.900000000001</v>
      </c>
      <c r="I34">
        <v>12289.900000000001</v>
      </c>
      <c r="J34">
        <v>12302.2</v>
      </c>
      <c r="K34">
        <v>12483</v>
      </c>
      <c r="L34">
        <v>12586.5</v>
      </c>
      <c r="M34">
        <v>12616.900000000001</v>
      </c>
      <c r="N34">
        <v>12594.100000000002</v>
      </c>
      <c r="O34">
        <v>12662.400000000001</v>
      </c>
      <c r="P34">
        <v>12652.000000000002</v>
      </c>
      <c r="Q34">
        <v>13410.800000000001</v>
      </c>
      <c r="R34">
        <v>13304.5</v>
      </c>
      <c r="S34">
        <v>13423.7</v>
      </c>
      <c r="T34">
        <v>13507.6</v>
      </c>
      <c r="U34">
        <v>13508.8</v>
      </c>
      <c r="V34">
        <v>14321.099999999997</v>
      </c>
      <c r="W34">
        <v>14482.199999999999</v>
      </c>
      <c r="X34">
        <v>14560.699999999997</v>
      </c>
      <c r="Y34">
        <v>14624.399999999998</v>
      </c>
      <c r="Z34">
        <v>14709.8</v>
      </c>
      <c r="AA34">
        <v>14784.299999999997</v>
      </c>
      <c r="AB34">
        <v>15125.099999999999</v>
      </c>
      <c r="AC34">
        <v>15651.899999999998</v>
      </c>
      <c r="AD34">
        <v>15870.999999999998</v>
      </c>
      <c r="AE34">
        <v>16044.899999999998</v>
      </c>
      <c r="AF34">
        <v>16074.599999999999</v>
      </c>
      <c r="AG34">
        <v>16644.899999999998</v>
      </c>
      <c r="AH34">
        <v>17079.399999999998</v>
      </c>
      <c r="AI34">
        <v>17059.8</v>
      </c>
      <c r="AJ34">
        <v>16817.899999999998</v>
      </c>
      <c r="AK34">
        <v>16858.099999999999</v>
      </c>
      <c r="AL34">
        <v>16324.9</v>
      </c>
      <c r="AM34">
        <v>16640</v>
      </c>
      <c r="AN34">
        <v>16759.699999999997</v>
      </c>
      <c r="AO34">
        <v>17534.899999999998</v>
      </c>
      <c r="AP34">
        <v>17389.899999999998</v>
      </c>
      <c r="AQ34">
        <v>17622.199999999997</v>
      </c>
      <c r="AR34">
        <v>18043.599999999999</v>
      </c>
      <c r="AS34">
        <v>18869.5</v>
      </c>
      <c r="AT34">
        <v>19096.5</v>
      </c>
      <c r="AU34">
        <v>19511.399999999998</v>
      </c>
      <c r="AV34">
        <v>19455.2</v>
      </c>
      <c r="AW34">
        <v>19529.7</v>
      </c>
      <c r="AX34">
        <v>20549.899999999998</v>
      </c>
      <c r="AY34">
        <v>20795.199999999997</v>
      </c>
      <c r="AZ34">
        <v>20918.899999999998</v>
      </c>
      <c r="BA34">
        <v>21203.5</v>
      </c>
      <c r="BB34">
        <v>21439.8</v>
      </c>
      <c r="BC34">
        <v>21510.699999999997</v>
      </c>
      <c r="BD34">
        <v>21645.5</v>
      </c>
      <c r="BE34">
        <v>21649.9</v>
      </c>
      <c r="BF34">
        <v>22334.400000000001</v>
      </c>
      <c r="BG34">
        <v>21877.1</v>
      </c>
      <c r="BH34">
        <v>21714.799999999999</v>
      </c>
      <c r="BI34">
        <v>22120.6</v>
      </c>
      <c r="BJ34">
        <v>22032</v>
      </c>
      <c r="BK34">
        <v>22229.5</v>
      </c>
      <c r="BL34">
        <v>22697.5</v>
      </c>
      <c r="BM34">
        <v>23741.599999999999</v>
      </c>
      <c r="BN34">
        <v>24221.1</v>
      </c>
      <c r="BO34">
        <v>24356.400000000001</v>
      </c>
      <c r="BP34">
        <v>24347</v>
      </c>
      <c r="BQ34">
        <v>24303</v>
      </c>
      <c r="BR34">
        <v>25026.799999999999</v>
      </c>
      <c r="BS34">
        <v>25049.5</v>
      </c>
      <c r="BT34">
        <v>25020.999999999996</v>
      </c>
      <c r="BU34">
        <v>25381.1</v>
      </c>
      <c r="BV34">
        <v>26602</v>
      </c>
      <c r="BW34">
        <v>26961.199999999997</v>
      </c>
      <c r="BX34">
        <v>25047.599999999999</v>
      </c>
      <c r="BY34">
        <v>24788.600000000002</v>
      </c>
    </row>
    <row r="35" spans="2:77">
      <c r="B35">
        <v>-149</v>
      </c>
      <c r="C35">
        <v>-62.599999999999994</v>
      </c>
      <c r="D35">
        <v>-2.4000000000000057</v>
      </c>
      <c r="E35">
        <v>245.3</v>
      </c>
      <c r="F35">
        <v>261.3</v>
      </c>
      <c r="G35">
        <v>360.7</v>
      </c>
      <c r="H35">
        <v>512.20000000000005</v>
      </c>
      <c r="I35">
        <v>473.4</v>
      </c>
      <c r="J35">
        <v>565.20000000000005</v>
      </c>
      <c r="K35">
        <v>645.6</v>
      </c>
      <c r="L35">
        <v>754.4</v>
      </c>
      <c r="M35">
        <v>834</v>
      </c>
      <c r="N35">
        <v>945.2</v>
      </c>
      <c r="O35">
        <v>1000</v>
      </c>
      <c r="P35">
        <v>1119.5999999999999</v>
      </c>
      <c r="Q35">
        <v>208.5</v>
      </c>
      <c r="R35">
        <v>371.4</v>
      </c>
      <c r="S35">
        <v>381.1</v>
      </c>
      <c r="T35">
        <v>446.1</v>
      </c>
      <c r="U35">
        <v>542.1</v>
      </c>
      <c r="V35">
        <v>591.9</v>
      </c>
      <c r="W35">
        <v>565.1</v>
      </c>
      <c r="X35">
        <v>621.1</v>
      </c>
      <c r="Y35">
        <v>655.6</v>
      </c>
      <c r="Z35">
        <v>581.79999999999995</v>
      </c>
      <c r="AA35">
        <v>621</v>
      </c>
      <c r="AB35">
        <v>337.4</v>
      </c>
      <c r="AC35">
        <v>-196.1</v>
      </c>
      <c r="AD35">
        <v>-239.4</v>
      </c>
      <c r="AE35">
        <v>-196.8</v>
      </c>
      <c r="AF35">
        <v>-45.5</v>
      </c>
      <c r="AG35">
        <v>2</v>
      </c>
      <c r="AH35">
        <v>-264.89999999999998</v>
      </c>
      <c r="AI35">
        <v>0</v>
      </c>
      <c r="AJ35">
        <v>329.8</v>
      </c>
      <c r="AK35">
        <v>443.7</v>
      </c>
      <c r="AL35">
        <v>1139.3</v>
      </c>
      <c r="AM35">
        <v>977.3</v>
      </c>
      <c r="AN35">
        <v>1030</v>
      </c>
      <c r="AO35">
        <v>60.3</v>
      </c>
      <c r="AP35">
        <v>307.10000000000002</v>
      </c>
      <c r="AQ35">
        <v>171.6</v>
      </c>
      <c r="AR35">
        <v>68.7</v>
      </c>
      <c r="AS35">
        <v>-377.6</v>
      </c>
      <c r="AT35">
        <v>-438.9</v>
      </c>
      <c r="AU35">
        <v>-676.8</v>
      </c>
      <c r="AV35">
        <v>-403.6</v>
      </c>
      <c r="AW35">
        <v>-103.8</v>
      </c>
      <c r="AX35">
        <v>200.6</v>
      </c>
      <c r="AY35">
        <v>199.6</v>
      </c>
      <c r="AZ35">
        <v>189.4</v>
      </c>
      <c r="BA35">
        <v>11.4</v>
      </c>
      <c r="BB35">
        <v>-60.9</v>
      </c>
      <c r="BC35">
        <v>-114.4</v>
      </c>
      <c r="BD35">
        <v>-350.3</v>
      </c>
      <c r="BE35">
        <v>-210.2</v>
      </c>
      <c r="BF35">
        <v>-255.6</v>
      </c>
      <c r="BG35">
        <v>257.89999999999998</v>
      </c>
      <c r="BH35">
        <v>420.9</v>
      </c>
      <c r="BI35">
        <v>1285.2</v>
      </c>
      <c r="BJ35">
        <v>1336.5</v>
      </c>
      <c r="BK35">
        <v>1344.3</v>
      </c>
      <c r="BL35">
        <v>1604.3</v>
      </c>
      <c r="BM35">
        <v>319.39999999999998</v>
      </c>
      <c r="BN35">
        <v>376.1</v>
      </c>
      <c r="BO35">
        <v>437.8</v>
      </c>
      <c r="BP35">
        <v>577.1</v>
      </c>
      <c r="BQ35">
        <v>764.6</v>
      </c>
      <c r="BR35">
        <v>875.4</v>
      </c>
      <c r="BS35">
        <v>1138.2</v>
      </c>
      <c r="BT35">
        <v>1356.9</v>
      </c>
      <c r="BU35">
        <v>1339.8</v>
      </c>
      <c r="BV35">
        <v>595.6</v>
      </c>
      <c r="BW35">
        <v>455.3</v>
      </c>
      <c r="BX35">
        <v>430.3</v>
      </c>
      <c r="BY35">
        <v>777.1</v>
      </c>
    </row>
    <row r="36" spans="2:77">
      <c r="B36">
        <v>685.2</v>
      </c>
      <c r="C36">
        <v>766.7</v>
      </c>
      <c r="D36">
        <v>861.09999999999991</v>
      </c>
      <c r="E36">
        <v>868.80000000000018</v>
      </c>
      <c r="F36">
        <v>922.40000000000009</v>
      </c>
      <c r="G36">
        <v>841.9</v>
      </c>
      <c r="H36">
        <v>893.19999999999993</v>
      </c>
      <c r="I36">
        <v>942.6</v>
      </c>
      <c r="J36">
        <v>983.90000000000009</v>
      </c>
      <c r="K36">
        <v>969</v>
      </c>
      <c r="L36">
        <v>922.1</v>
      </c>
      <c r="M36">
        <v>980.4</v>
      </c>
      <c r="N36">
        <v>933.99999999999989</v>
      </c>
      <c r="O36">
        <v>985.3</v>
      </c>
      <c r="P36">
        <v>1012.8</v>
      </c>
      <c r="Q36">
        <v>1020.8</v>
      </c>
      <c r="R36">
        <v>1055.3999999999999</v>
      </c>
      <c r="S36">
        <v>1056.3999999999999</v>
      </c>
      <c r="T36">
        <v>1084.8</v>
      </c>
      <c r="U36">
        <v>1161.8999999999999</v>
      </c>
      <c r="V36">
        <v>1237.9000000000001</v>
      </c>
      <c r="W36">
        <v>1369.6</v>
      </c>
      <c r="X36">
        <v>1314.2</v>
      </c>
      <c r="Y36">
        <v>1317.3</v>
      </c>
      <c r="Z36">
        <v>1316.5</v>
      </c>
      <c r="AA36">
        <v>1534.5</v>
      </c>
      <c r="AB36">
        <v>1671.3000000000002</v>
      </c>
      <c r="AC36">
        <v>1609.1</v>
      </c>
      <c r="AD36">
        <v>1645.3</v>
      </c>
      <c r="AE36">
        <v>1539.1999999999998</v>
      </c>
      <c r="AF36">
        <v>1678.3999999999999</v>
      </c>
      <c r="AG36">
        <v>1813.1</v>
      </c>
      <c r="AH36">
        <v>2052.6999999999998</v>
      </c>
      <c r="AI36">
        <v>2049.5</v>
      </c>
      <c r="AJ36">
        <v>2847.2999999999997</v>
      </c>
      <c r="AK36">
        <v>3014.9999999999995</v>
      </c>
      <c r="AL36">
        <v>3110.2</v>
      </c>
      <c r="AM36">
        <v>3369.5</v>
      </c>
      <c r="AN36">
        <v>3574.2000000000003</v>
      </c>
      <c r="AO36">
        <v>3630.2000000000003</v>
      </c>
      <c r="AP36">
        <v>3817.4</v>
      </c>
      <c r="AQ36">
        <v>4018.8</v>
      </c>
      <c r="AR36">
        <v>4318.9000000000005</v>
      </c>
      <c r="AS36">
        <v>4372.8999999999996</v>
      </c>
      <c r="AT36">
        <v>4579.1000000000004</v>
      </c>
      <c r="AU36">
        <v>4595.3999999999996</v>
      </c>
      <c r="AV36">
        <v>4604.3</v>
      </c>
      <c r="AW36">
        <v>4795</v>
      </c>
      <c r="AX36">
        <v>4757.9999999999991</v>
      </c>
      <c r="AY36">
        <v>5057.5</v>
      </c>
      <c r="AZ36">
        <v>5354.7999999999993</v>
      </c>
      <c r="BA36">
        <v>6056.5</v>
      </c>
      <c r="BB36">
        <v>6446.5</v>
      </c>
      <c r="BC36">
        <v>6729.1</v>
      </c>
      <c r="BD36">
        <v>6390.7</v>
      </c>
      <c r="BE36">
        <v>6656.2000000000007</v>
      </c>
      <c r="BF36">
        <v>6837.6</v>
      </c>
      <c r="BG36">
        <v>7094.2999999999993</v>
      </c>
      <c r="BH36">
        <v>7406</v>
      </c>
      <c r="BI36">
        <v>7828.1</v>
      </c>
      <c r="BJ36">
        <v>7976.1</v>
      </c>
      <c r="BK36">
        <v>9516.7999999999993</v>
      </c>
      <c r="BL36">
        <v>10102.700000000001</v>
      </c>
      <c r="BM36">
        <v>10330.700000000001</v>
      </c>
      <c r="BN36">
        <v>10517.7</v>
      </c>
      <c r="BO36">
        <v>10315.9</v>
      </c>
      <c r="BP36">
        <v>10231.9</v>
      </c>
      <c r="BQ36">
        <v>10544.9</v>
      </c>
      <c r="BR36">
        <v>10825.7</v>
      </c>
      <c r="BS36">
        <v>10936</v>
      </c>
      <c r="BT36">
        <v>11266.1</v>
      </c>
      <c r="BU36">
        <v>11709.4</v>
      </c>
      <c r="BV36">
        <v>11802.8</v>
      </c>
      <c r="BW36">
        <v>12081.099999999999</v>
      </c>
      <c r="BX36">
        <v>11963.1</v>
      </c>
      <c r="BY36">
        <v>12231.1</v>
      </c>
    </row>
    <row r="37" spans="2:77">
      <c r="B37">
        <v>1079.0999999999999</v>
      </c>
      <c r="C37">
        <v>1130</v>
      </c>
      <c r="D37">
        <v>1171.8</v>
      </c>
      <c r="E37">
        <v>209.2</v>
      </c>
      <c r="F37">
        <v>265</v>
      </c>
      <c r="G37">
        <v>496.1</v>
      </c>
      <c r="H37">
        <v>636.40000000000009</v>
      </c>
      <c r="I37">
        <v>690.5</v>
      </c>
      <c r="J37">
        <v>804.80000000000007</v>
      </c>
      <c r="K37">
        <v>978.30000000000007</v>
      </c>
      <c r="L37">
        <v>1252.3</v>
      </c>
      <c r="M37">
        <v>1370.3</v>
      </c>
      <c r="N37">
        <v>1377.4</v>
      </c>
      <c r="O37">
        <v>1431.4</v>
      </c>
      <c r="P37">
        <v>1569.9</v>
      </c>
      <c r="Q37">
        <v>370.1</v>
      </c>
      <c r="R37">
        <v>498.8</v>
      </c>
      <c r="S37">
        <v>662.8</v>
      </c>
      <c r="T37">
        <v>694</v>
      </c>
      <c r="U37">
        <v>749.19999999999993</v>
      </c>
      <c r="V37">
        <v>836.19999999999993</v>
      </c>
      <c r="W37">
        <v>900</v>
      </c>
      <c r="X37">
        <v>1104.6000000000001</v>
      </c>
      <c r="Y37">
        <v>1280.9000000000001</v>
      </c>
      <c r="Z37">
        <v>1427.1000000000001</v>
      </c>
      <c r="AA37">
        <v>1401</v>
      </c>
      <c r="AB37">
        <v>1367.3</v>
      </c>
      <c r="AC37">
        <v>224.5</v>
      </c>
      <c r="AD37">
        <v>404</v>
      </c>
      <c r="AE37">
        <v>705.7</v>
      </c>
      <c r="AF37">
        <v>622.5</v>
      </c>
      <c r="AG37">
        <v>697.5</v>
      </c>
      <c r="AH37">
        <v>828.80000000000007</v>
      </c>
      <c r="AI37">
        <v>1055.0999999999999</v>
      </c>
      <c r="AJ37">
        <v>1232.8</v>
      </c>
      <c r="AK37">
        <v>1385.6</v>
      </c>
      <c r="AL37">
        <v>1624.5</v>
      </c>
      <c r="AM37">
        <v>1453.1000000000001</v>
      </c>
      <c r="AN37">
        <v>1473.1000000000001</v>
      </c>
      <c r="AO37">
        <v>136</v>
      </c>
      <c r="AP37">
        <v>112.8</v>
      </c>
      <c r="AQ37">
        <v>143.1</v>
      </c>
      <c r="AR37">
        <v>-251.7</v>
      </c>
      <c r="AS37">
        <v>253.5</v>
      </c>
      <c r="AT37">
        <v>316.3</v>
      </c>
      <c r="AU37">
        <v>576.4</v>
      </c>
      <c r="AV37">
        <v>849.4</v>
      </c>
      <c r="AW37">
        <v>966.8</v>
      </c>
      <c r="AX37">
        <v>1003.6</v>
      </c>
      <c r="AY37">
        <v>1049.9000000000001</v>
      </c>
      <c r="AZ37">
        <v>1104.7</v>
      </c>
      <c r="BA37">
        <v>74.599999999999994</v>
      </c>
      <c r="BB37">
        <v>22.8</v>
      </c>
      <c r="BC37">
        <v>-100.2</v>
      </c>
      <c r="BD37">
        <v>607.20000000000005</v>
      </c>
      <c r="BE37">
        <v>695.6</v>
      </c>
      <c r="BF37">
        <v>840.6</v>
      </c>
      <c r="BG37">
        <v>974.4</v>
      </c>
      <c r="BH37">
        <v>1110.4000000000001</v>
      </c>
      <c r="BI37">
        <v>1040.5999999999999</v>
      </c>
      <c r="BJ37">
        <v>1210.2</v>
      </c>
      <c r="BK37">
        <v>1183.5</v>
      </c>
      <c r="BL37">
        <v>1027.5999999999999</v>
      </c>
      <c r="BM37">
        <v>54</v>
      </c>
      <c r="BN37">
        <v>254.5</v>
      </c>
      <c r="BO37">
        <v>561.1</v>
      </c>
      <c r="BP37">
        <v>714.8</v>
      </c>
      <c r="BQ37">
        <v>747.7</v>
      </c>
      <c r="BR37">
        <v>962.5</v>
      </c>
      <c r="BS37">
        <v>1257.7</v>
      </c>
      <c r="BT37">
        <v>1620.3</v>
      </c>
      <c r="BU37">
        <v>1660.7</v>
      </c>
      <c r="BV37">
        <v>1883.3</v>
      </c>
      <c r="BW37">
        <v>1950.6999999999998</v>
      </c>
      <c r="BX37">
        <v>2043.5</v>
      </c>
      <c r="BY37">
        <v>128.9</v>
      </c>
    </row>
    <row r="38" spans="2:77">
      <c r="B38">
        <v>7309.4000000000005</v>
      </c>
      <c r="C38">
        <v>7321.4000000000005</v>
      </c>
      <c r="D38">
        <v>7326.5</v>
      </c>
      <c r="E38">
        <v>8221.4000000000015</v>
      </c>
      <c r="F38">
        <v>8225.6</v>
      </c>
      <c r="G38">
        <v>8233.9000000000015</v>
      </c>
      <c r="H38">
        <v>8250.1</v>
      </c>
      <c r="I38">
        <v>8267.5</v>
      </c>
      <c r="J38">
        <v>8266.6</v>
      </c>
      <c r="K38">
        <v>8269.2000000000007</v>
      </c>
      <c r="L38">
        <v>8285.5</v>
      </c>
      <c r="M38">
        <v>8291.2000000000007</v>
      </c>
      <c r="N38">
        <v>8293.5</v>
      </c>
      <c r="O38">
        <v>8294.1</v>
      </c>
      <c r="P38">
        <v>8294.8000000000011</v>
      </c>
      <c r="Q38">
        <v>9406.4000000000015</v>
      </c>
      <c r="R38">
        <v>9409.5</v>
      </c>
      <c r="S38">
        <v>9426</v>
      </c>
      <c r="T38">
        <v>9428.7000000000007</v>
      </c>
      <c r="U38">
        <v>9446.3000000000011</v>
      </c>
      <c r="V38">
        <v>9441.5</v>
      </c>
      <c r="W38">
        <v>9442.8000000000011</v>
      </c>
      <c r="X38">
        <v>9439</v>
      </c>
      <c r="Y38">
        <v>9445.2000000000007</v>
      </c>
      <c r="Z38">
        <v>9448.1</v>
      </c>
      <c r="AA38">
        <v>9449.9000000000015</v>
      </c>
      <c r="AB38">
        <v>9452.5</v>
      </c>
      <c r="AC38">
        <v>10521.5</v>
      </c>
      <c r="AD38">
        <v>10543</v>
      </c>
      <c r="AE38">
        <v>10551.8</v>
      </c>
      <c r="AF38">
        <v>10556</v>
      </c>
      <c r="AG38">
        <v>10566.099999999999</v>
      </c>
      <c r="AH38">
        <v>10403.4</v>
      </c>
      <c r="AI38">
        <v>10401.299999999999</v>
      </c>
      <c r="AJ38">
        <v>10403.599999999999</v>
      </c>
      <c r="AK38">
        <v>10413.4</v>
      </c>
      <c r="AL38">
        <v>10746.699999999999</v>
      </c>
      <c r="AM38">
        <v>10761.199999999999</v>
      </c>
      <c r="AN38">
        <v>10769.099999999999</v>
      </c>
      <c r="AO38">
        <v>11558.6</v>
      </c>
      <c r="AP38">
        <v>11573.4</v>
      </c>
      <c r="AQ38">
        <v>11588</v>
      </c>
      <c r="AR38">
        <v>11808.199999999999</v>
      </c>
      <c r="AS38">
        <v>11670.3</v>
      </c>
      <c r="AT38">
        <v>11685.6</v>
      </c>
      <c r="AU38">
        <v>11694.6</v>
      </c>
      <c r="AV38">
        <v>11715</v>
      </c>
      <c r="AW38">
        <v>11724</v>
      </c>
      <c r="AX38">
        <v>11730.1</v>
      </c>
      <c r="AY38">
        <v>11726.5</v>
      </c>
      <c r="AZ38">
        <v>11722</v>
      </c>
      <c r="BA38">
        <v>11727.199999999999</v>
      </c>
      <c r="BB38">
        <v>13515.199999999999</v>
      </c>
      <c r="BC38">
        <v>13533.3</v>
      </c>
      <c r="BD38">
        <v>13521.9</v>
      </c>
      <c r="BE38">
        <v>13524.6</v>
      </c>
      <c r="BF38">
        <v>14455.1</v>
      </c>
      <c r="BG38">
        <v>14636.7</v>
      </c>
      <c r="BH38">
        <v>14622.900000000001</v>
      </c>
      <c r="BI38">
        <v>17338</v>
      </c>
      <c r="BJ38">
        <v>17638.5</v>
      </c>
      <c r="BK38">
        <v>17694.7</v>
      </c>
      <c r="BL38">
        <v>17727.099999999999</v>
      </c>
      <c r="BM38">
        <v>18405.599999999999</v>
      </c>
      <c r="BN38">
        <v>18405.599999999999</v>
      </c>
      <c r="BO38">
        <v>19064.5</v>
      </c>
      <c r="BP38">
        <v>19064.5</v>
      </c>
      <c r="BQ38">
        <v>19064.5</v>
      </c>
      <c r="BR38">
        <v>19064.5</v>
      </c>
      <c r="BS38">
        <v>19064.5</v>
      </c>
      <c r="BT38">
        <v>19064.400000000001</v>
      </c>
      <c r="BU38">
        <v>19064.5</v>
      </c>
      <c r="BV38">
        <v>19064.5</v>
      </c>
      <c r="BW38">
        <v>19064.5</v>
      </c>
      <c r="BX38">
        <v>19064.5</v>
      </c>
      <c r="BY38">
        <v>19611.400000000001</v>
      </c>
    </row>
    <row r="39" spans="2:77">
      <c r="B39">
        <f>+B38+B37+B36+B35+B34</f>
        <v>19832.2</v>
      </c>
      <c r="C39">
        <f t="shared" ref="C39:BN39" si="12">+C38+C37+C36+C35+C34</f>
        <v>20076.400000000001</v>
      </c>
      <c r="D39">
        <f t="shared" si="12"/>
        <v>20350</v>
      </c>
      <c r="E39">
        <f t="shared" si="12"/>
        <v>20334.800000000003</v>
      </c>
      <c r="F39">
        <f t="shared" si="12"/>
        <v>21911.199999999997</v>
      </c>
      <c r="G39">
        <f t="shared" si="12"/>
        <v>22171.700000000004</v>
      </c>
      <c r="H39">
        <f t="shared" si="12"/>
        <v>22532.800000000003</v>
      </c>
      <c r="I39">
        <f t="shared" si="12"/>
        <v>22663.9</v>
      </c>
      <c r="J39">
        <f t="shared" si="12"/>
        <v>22922.7</v>
      </c>
      <c r="K39">
        <f t="shared" si="12"/>
        <v>23345.1</v>
      </c>
      <c r="L39">
        <f t="shared" si="12"/>
        <v>23800.799999999999</v>
      </c>
      <c r="M39">
        <f t="shared" si="12"/>
        <v>24092.800000000003</v>
      </c>
      <c r="N39">
        <f t="shared" si="12"/>
        <v>24144.200000000004</v>
      </c>
      <c r="O39">
        <f t="shared" si="12"/>
        <v>24373.200000000001</v>
      </c>
      <c r="P39">
        <f t="shared" si="12"/>
        <v>24649.100000000002</v>
      </c>
      <c r="Q39">
        <f t="shared" si="12"/>
        <v>24416.600000000002</v>
      </c>
      <c r="R39">
        <f t="shared" si="12"/>
        <v>24639.599999999999</v>
      </c>
      <c r="S39">
        <f t="shared" si="12"/>
        <v>24950</v>
      </c>
      <c r="T39">
        <f t="shared" si="12"/>
        <v>25161.200000000001</v>
      </c>
      <c r="U39">
        <f t="shared" si="12"/>
        <v>25408.300000000003</v>
      </c>
      <c r="V39">
        <f t="shared" si="12"/>
        <v>26428.6</v>
      </c>
      <c r="W39">
        <f t="shared" si="12"/>
        <v>26759.7</v>
      </c>
      <c r="X39">
        <f t="shared" si="12"/>
        <v>27039.599999999999</v>
      </c>
      <c r="Y39">
        <f t="shared" si="12"/>
        <v>27323.399999999998</v>
      </c>
      <c r="Z39">
        <f t="shared" si="12"/>
        <v>27483.3</v>
      </c>
      <c r="AA39">
        <f t="shared" si="12"/>
        <v>27790.699999999997</v>
      </c>
      <c r="AB39">
        <f t="shared" si="12"/>
        <v>27953.599999999999</v>
      </c>
      <c r="AC39">
        <f t="shared" si="12"/>
        <v>27810.899999999998</v>
      </c>
      <c r="AD39">
        <f t="shared" si="12"/>
        <v>28223.899999999998</v>
      </c>
      <c r="AE39">
        <f t="shared" si="12"/>
        <v>28644.799999999999</v>
      </c>
      <c r="AF39">
        <f t="shared" si="12"/>
        <v>28886</v>
      </c>
      <c r="AG39">
        <f t="shared" si="12"/>
        <v>29723.599999999999</v>
      </c>
      <c r="AH39">
        <f t="shared" si="12"/>
        <v>30099.399999999994</v>
      </c>
      <c r="AI39">
        <f t="shared" si="12"/>
        <v>30565.699999999997</v>
      </c>
      <c r="AJ39">
        <f t="shared" si="12"/>
        <v>31631.399999999994</v>
      </c>
      <c r="AK39">
        <f t="shared" si="12"/>
        <v>32115.8</v>
      </c>
      <c r="AL39">
        <f t="shared" si="12"/>
        <v>32945.599999999999</v>
      </c>
      <c r="AM39">
        <f t="shared" si="12"/>
        <v>33201.1</v>
      </c>
      <c r="AN39">
        <f t="shared" si="12"/>
        <v>33606.1</v>
      </c>
      <c r="AO39">
        <f t="shared" si="12"/>
        <v>32920</v>
      </c>
      <c r="AP39">
        <f t="shared" si="12"/>
        <v>33200.6</v>
      </c>
      <c r="AQ39">
        <f t="shared" si="12"/>
        <v>33543.699999999997</v>
      </c>
      <c r="AR39">
        <f t="shared" si="12"/>
        <v>33987.699999999997</v>
      </c>
      <c r="AS39">
        <f t="shared" si="12"/>
        <v>34788.6</v>
      </c>
      <c r="AT39">
        <f t="shared" si="12"/>
        <v>35238.6</v>
      </c>
      <c r="AU39">
        <f t="shared" si="12"/>
        <v>35701</v>
      </c>
      <c r="AV39">
        <f t="shared" si="12"/>
        <v>36220.300000000003</v>
      </c>
      <c r="AW39">
        <f t="shared" si="12"/>
        <v>36911.699999999997</v>
      </c>
      <c r="AX39">
        <f t="shared" si="12"/>
        <v>38242.199999999997</v>
      </c>
      <c r="AY39">
        <f t="shared" si="12"/>
        <v>38828.699999999997</v>
      </c>
      <c r="AZ39">
        <f t="shared" si="12"/>
        <v>39289.800000000003</v>
      </c>
      <c r="BA39">
        <f t="shared" si="12"/>
        <v>39073.199999999997</v>
      </c>
      <c r="BB39">
        <f t="shared" si="12"/>
        <v>41363.399999999994</v>
      </c>
      <c r="BC39">
        <f t="shared" si="12"/>
        <v>41558.499999999993</v>
      </c>
      <c r="BD39">
        <f t="shared" si="12"/>
        <v>41815</v>
      </c>
      <c r="BE39">
        <f t="shared" si="12"/>
        <v>42316.100000000006</v>
      </c>
      <c r="BF39">
        <f t="shared" si="12"/>
        <v>44212.100000000006</v>
      </c>
      <c r="BG39">
        <f t="shared" si="12"/>
        <v>44840.4</v>
      </c>
      <c r="BH39">
        <f t="shared" si="12"/>
        <v>45275</v>
      </c>
      <c r="BI39">
        <f t="shared" si="12"/>
        <v>49612.5</v>
      </c>
      <c r="BJ39">
        <f t="shared" si="12"/>
        <v>50193.3</v>
      </c>
      <c r="BK39">
        <f t="shared" si="12"/>
        <v>51968.800000000003</v>
      </c>
      <c r="BL39">
        <f t="shared" si="12"/>
        <v>53159.199999999997</v>
      </c>
      <c r="BM39">
        <f t="shared" si="12"/>
        <v>52851.3</v>
      </c>
      <c r="BN39">
        <f t="shared" si="12"/>
        <v>53775</v>
      </c>
      <c r="BO39">
        <f t="shared" ref="BO39:BY39" si="13">+BO38+BO37+BO36+BO35+BO34</f>
        <v>54735.7</v>
      </c>
      <c r="BP39">
        <f t="shared" si="13"/>
        <v>54935.299999999996</v>
      </c>
      <c r="BQ39">
        <f t="shared" si="13"/>
        <v>55424.7</v>
      </c>
      <c r="BR39">
        <f t="shared" si="13"/>
        <v>56754.9</v>
      </c>
      <c r="BS39">
        <f t="shared" si="13"/>
        <v>57445.9</v>
      </c>
      <c r="BT39">
        <f t="shared" si="13"/>
        <v>58328.7</v>
      </c>
      <c r="BU39">
        <f t="shared" si="13"/>
        <v>59155.5</v>
      </c>
      <c r="BV39">
        <f t="shared" si="13"/>
        <v>59948.2</v>
      </c>
      <c r="BW39">
        <f t="shared" si="13"/>
        <v>60512.800000000003</v>
      </c>
      <c r="BX39">
        <f t="shared" si="13"/>
        <v>58549</v>
      </c>
      <c r="BY39">
        <f t="shared" si="13"/>
        <v>57537.100000000006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2017-07-11T06:10:58Z</cp:lastPrinted>
  <dcterms:created xsi:type="dcterms:W3CDTF">2000-09-11T06:53:43Z</dcterms:created>
  <dcterms:modified xsi:type="dcterms:W3CDTF">2017-09-22T08:09:04Z</dcterms:modified>
</cp:coreProperties>
</file>