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 tabRatio="604" firstSheet="1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P20" i="5" l="1"/>
  <c r="N20" i="5"/>
  <c r="M20" i="5"/>
  <c r="Q20" i="5" s="1"/>
  <c r="G20" i="5"/>
  <c r="F20" i="5"/>
  <c r="L20" i="5" s="1"/>
  <c r="R20" i="5" s="1"/>
  <c r="D20" i="5"/>
  <c r="P60" i="4"/>
  <c r="N60" i="4"/>
  <c r="M60" i="4"/>
  <c r="G60" i="4"/>
  <c r="F60" i="4"/>
  <c r="D60" i="4"/>
  <c r="P59" i="4"/>
  <c r="N59" i="4"/>
  <c r="M59" i="4"/>
  <c r="G59" i="4"/>
  <c r="F59" i="4"/>
  <c r="D59" i="4"/>
  <c r="P58" i="4"/>
  <c r="Q58" i="4" s="1"/>
  <c r="G58" i="4"/>
  <c r="L58" i="4" s="1"/>
  <c r="R58" i="4" s="1"/>
  <c r="D58" i="4"/>
  <c r="P166" i="3"/>
  <c r="N166" i="3"/>
  <c r="M166" i="3"/>
  <c r="G166" i="3"/>
  <c r="F166" i="3"/>
  <c r="L166" i="3" s="1"/>
  <c r="D166" i="3"/>
  <c r="P165" i="3"/>
  <c r="N165" i="3"/>
  <c r="M165" i="3"/>
  <c r="G165" i="3"/>
  <c r="F165" i="3"/>
  <c r="D165" i="3"/>
  <c r="P164" i="3"/>
  <c r="N164" i="3"/>
  <c r="M164" i="3"/>
  <c r="G164" i="3"/>
  <c r="F164" i="3"/>
  <c r="D164" i="3"/>
  <c r="P163" i="3"/>
  <c r="N163" i="3"/>
  <c r="M163" i="3"/>
  <c r="G163" i="3"/>
  <c r="F163" i="3"/>
  <c r="L163" i="3" s="1"/>
  <c r="D163" i="3"/>
  <c r="P162" i="3"/>
  <c r="Q162" i="3" s="1"/>
  <c r="G162" i="3"/>
  <c r="L162" i="3" s="1"/>
  <c r="D162" i="3"/>
  <c r="P161" i="3"/>
  <c r="Q161" i="3" s="1"/>
  <c r="G161" i="3"/>
  <c r="L161" i="3" s="1"/>
  <c r="D161" i="3"/>
  <c r="P160" i="3"/>
  <c r="Q160" i="3" s="1"/>
  <c r="G160" i="3"/>
  <c r="L160" i="3" s="1"/>
  <c r="D160" i="3"/>
  <c r="P159" i="3"/>
  <c r="Q159" i="3" s="1"/>
  <c r="G159" i="3"/>
  <c r="L159" i="3" s="1"/>
  <c r="D159" i="3"/>
  <c r="S20" i="5" l="1"/>
  <c r="L59" i="4"/>
  <c r="R59" i="4" s="1"/>
  <c r="S59" i="4" s="1"/>
  <c r="L60" i="4"/>
  <c r="R60" i="4" s="1"/>
  <c r="S60" i="4" s="1"/>
  <c r="Q59" i="4"/>
  <c r="Q60" i="4"/>
  <c r="S58" i="4"/>
  <c r="Q164" i="3"/>
  <c r="Q165" i="3"/>
  <c r="R159" i="3"/>
  <c r="S159" i="3" s="1"/>
  <c r="R162" i="3"/>
  <c r="S162" i="3" s="1"/>
  <c r="R161" i="3"/>
  <c r="S161" i="3" s="1"/>
  <c r="Q163" i="3"/>
  <c r="R163" i="3" s="1"/>
  <c r="S163" i="3" s="1"/>
  <c r="L164" i="3"/>
  <c r="L165" i="3"/>
  <c r="Q166" i="3"/>
  <c r="R166" i="3" s="1"/>
  <c r="S166" i="3" s="1"/>
  <c r="R160" i="3"/>
  <c r="S160" i="3" s="1"/>
  <c r="R164" i="3" l="1"/>
  <c r="S164" i="3" s="1"/>
  <c r="R165" i="3"/>
  <c r="S165" i="3" s="1"/>
  <c r="P57" i="4" l="1"/>
  <c r="N57" i="4"/>
  <c r="M57" i="4"/>
  <c r="G57" i="4"/>
  <c r="F57" i="4"/>
  <c r="D57" i="4"/>
  <c r="P56" i="4"/>
  <c r="N56" i="4"/>
  <c r="M56" i="4"/>
  <c r="G56" i="4"/>
  <c r="F56" i="4"/>
  <c r="D56" i="4"/>
  <c r="P158" i="3"/>
  <c r="N158" i="3"/>
  <c r="M158" i="3"/>
  <c r="G158" i="3"/>
  <c r="F158" i="3"/>
  <c r="D158" i="3"/>
  <c r="P157" i="3"/>
  <c r="N157" i="3"/>
  <c r="M157" i="3"/>
  <c r="G157" i="3"/>
  <c r="F157" i="3"/>
  <c r="D157" i="3"/>
  <c r="P156" i="3"/>
  <c r="N156" i="3"/>
  <c r="M156" i="3"/>
  <c r="G156" i="3"/>
  <c r="F156" i="3"/>
  <c r="D156" i="3"/>
  <c r="P155" i="3"/>
  <c r="N155" i="3"/>
  <c r="M155" i="3"/>
  <c r="Q155" i="3" s="1"/>
  <c r="G155" i="3"/>
  <c r="F155" i="3"/>
  <c r="L155" i="3" s="1"/>
  <c r="D155" i="3"/>
  <c r="P154" i="3"/>
  <c r="N154" i="3"/>
  <c r="M154" i="3"/>
  <c r="G154" i="3"/>
  <c r="F154" i="3"/>
  <c r="L154" i="3" s="1"/>
  <c r="D154" i="3"/>
  <c r="P153" i="3"/>
  <c r="N153" i="3"/>
  <c r="M153" i="3"/>
  <c r="G153" i="3"/>
  <c r="L153" i="3" s="1"/>
  <c r="D153" i="3"/>
  <c r="P152" i="3"/>
  <c r="N152" i="3"/>
  <c r="M152" i="3"/>
  <c r="G152" i="3"/>
  <c r="L152" i="3" s="1"/>
  <c r="D152" i="3"/>
  <c r="Q57" i="4" l="1"/>
  <c r="Q157" i="3"/>
  <c r="Q152" i="3"/>
  <c r="L156" i="3"/>
  <c r="Q156" i="3"/>
  <c r="L157" i="3"/>
  <c r="R157" i="3" s="1"/>
  <c r="R152" i="3"/>
  <c r="Q153" i="3"/>
  <c r="R153" i="3" s="1"/>
  <c r="S153" i="3" s="1"/>
  <c r="L57" i="4"/>
  <c r="R57" i="4" s="1"/>
  <c r="S57" i="4" s="1"/>
  <c r="L56" i="4"/>
  <c r="Q56" i="4"/>
  <c r="S157" i="3"/>
  <c r="R156" i="3"/>
  <c r="S156" i="3" s="1"/>
  <c r="Q158" i="3"/>
  <c r="R155" i="3"/>
  <c r="S155" i="3" s="1"/>
  <c r="Q154" i="3"/>
  <c r="R154" i="3" s="1"/>
  <c r="S154" i="3" s="1"/>
  <c r="L158" i="3"/>
  <c r="S152" i="3"/>
  <c r="R158" i="3" l="1"/>
  <c r="S158" i="3" s="1"/>
  <c r="R56" i="4"/>
  <c r="S56" i="4" s="1"/>
  <c r="Q19" i="5"/>
  <c r="L19" i="5"/>
  <c r="D19" i="5"/>
  <c r="Q55" i="4"/>
  <c r="L55" i="4"/>
  <c r="D55" i="4"/>
  <c r="Q151" i="3"/>
  <c r="L151" i="3"/>
  <c r="D151" i="3"/>
  <c r="R19" i="5" l="1"/>
  <c r="S19" i="5" s="1"/>
  <c r="R55" i="4"/>
  <c r="S55" i="4" s="1"/>
  <c r="R151" i="3"/>
  <c r="S151" i="3" s="1"/>
  <c r="Q54" i="4" l="1"/>
  <c r="L54" i="4"/>
  <c r="D54" i="4"/>
  <c r="Q53" i="4"/>
  <c r="L53" i="4"/>
  <c r="D53" i="4"/>
  <c r="Q52" i="4"/>
  <c r="L52" i="4"/>
  <c r="D52" i="4"/>
  <c r="R54" i="4" l="1"/>
  <c r="S54" i="4" s="1"/>
  <c r="R53" i="4"/>
  <c r="S53" i="4" s="1"/>
  <c r="R52" i="4"/>
  <c r="S52" i="4" s="1"/>
  <c r="Q150" i="3" l="1"/>
  <c r="L150" i="3"/>
  <c r="D150" i="3"/>
  <c r="Q149" i="3"/>
  <c r="L149" i="3"/>
  <c r="D149" i="3"/>
  <c r="Q148" i="3"/>
  <c r="L148" i="3"/>
  <c r="D148" i="3"/>
  <c r="Q147" i="3"/>
  <c r="L147" i="3"/>
  <c r="R147" i="3" s="1"/>
  <c r="D147" i="3"/>
  <c r="Q146" i="3"/>
  <c r="L146" i="3"/>
  <c r="D146" i="3"/>
  <c r="Q145" i="3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D141" i="3"/>
  <c r="Q140" i="3"/>
  <c r="L140" i="3"/>
  <c r="D140" i="3"/>
  <c r="R146" i="3" l="1"/>
  <c r="S146" i="3" s="1"/>
  <c r="R140" i="3"/>
  <c r="S140" i="3" s="1"/>
  <c r="R148" i="3"/>
  <c r="S148" i="3" s="1"/>
  <c r="R144" i="3"/>
  <c r="S144" i="3" s="1"/>
  <c r="R142" i="3"/>
  <c r="S142" i="3" s="1"/>
  <c r="R145" i="3"/>
  <c r="S145" i="3" s="1"/>
  <c r="R141" i="3"/>
  <c r="S141" i="3" s="1"/>
  <c r="R149" i="3"/>
  <c r="S149" i="3" s="1"/>
  <c r="R143" i="3"/>
  <c r="S143" i="3" s="1"/>
  <c r="S147" i="3"/>
  <c r="R150" i="3"/>
  <c r="S150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55" i="3"/>
  <c r="L55" i="3"/>
  <c r="Q55" i="3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36" i="3" l="1"/>
  <c r="S136" i="3" s="1"/>
  <c r="R55" i="3"/>
  <c r="S55" i="3" s="1"/>
  <c r="R16" i="5"/>
  <c r="S16" i="5" s="1"/>
  <c r="R17" i="5"/>
  <c r="S17" i="5" s="1"/>
  <c r="R12" i="5"/>
  <c r="S12" i="5" s="1"/>
  <c r="R15" i="5"/>
  <c r="S15" i="5" s="1"/>
  <c r="R11" i="5"/>
  <c r="S11" i="5" s="1"/>
  <c r="R10" i="5"/>
  <c r="S10" i="5" s="1"/>
  <c r="R13" i="5"/>
  <c r="S13" i="5" s="1"/>
  <c r="R14" i="5"/>
  <c r="S14" i="5" s="1"/>
  <c r="R18" i="5"/>
  <c r="S18" i="5" s="1"/>
  <c r="R21" i="4"/>
  <c r="S21" i="4" s="1"/>
  <c r="R31" i="4"/>
  <c r="S31" i="4" s="1"/>
  <c r="R38" i="4"/>
  <c r="S38" i="4" s="1"/>
  <c r="R25" i="4"/>
  <c r="S25" i="4" s="1"/>
  <c r="R40" i="4"/>
  <c r="S40" i="4" s="1"/>
  <c r="R49" i="4"/>
  <c r="S49" i="4" s="1"/>
  <c r="R47" i="4"/>
  <c r="S47" i="4" s="1"/>
  <c r="R48" i="4"/>
  <c r="S48" i="4" s="1"/>
  <c r="R30" i="4"/>
  <c r="S30" i="4" s="1"/>
  <c r="R26" i="4"/>
  <c r="S26" i="4" s="1"/>
  <c r="R33" i="4"/>
  <c r="S33" i="4" s="1"/>
  <c r="R37" i="4"/>
  <c r="S37" i="4" s="1"/>
  <c r="R44" i="4"/>
  <c r="S44" i="4" s="1"/>
  <c r="R32" i="4"/>
  <c r="S32" i="4" s="1"/>
  <c r="R23" i="4"/>
  <c r="S23" i="4" s="1"/>
  <c r="R29" i="4"/>
  <c r="S29" i="4" s="1"/>
  <c r="R35" i="4"/>
  <c r="S35" i="4" s="1"/>
  <c r="R42" i="4"/>
  <c r="S42" i="4" s="1"/>
  <c r="R27" i="4"/>
  <c r="S27" i="4" s="1"/>
  <c r="R34" i="4"/>
  <c r="S34" i="4" s="1"/>
  <c r="R43" i="4"/>
  <c r="S43" i="4" s="1"/>
  <c r="R51" i="4"/>
  <c r="S51" i="4" s="1"/>
  <c r="R24" i="4"/>
  <c r="S24" i="4" s="1"/>
  <c r="R28" i="4"/>
  <c r="S28" i="4" s="1"/>
  <c r="R39" i="4"/>
  <c r="S39" i="4" s="1"/>
  <c r="R19" i="4"/>
  <c r="S19" i="4" s="1"/>
  <c r="R22" i="4"/>
  <c r="S22" i="4" s="1"/>
  <c r="R36" i="4"/>
  <c r="S36" i="4" s="1"/>
  <c r="R41" i="4"/>
  <c r="S41" i="4" s="1"/>
  <c r="R45" i="4"/>
  <c r="S45" i="4" s="1"/>
  <c r="R20" i="4"/>
  <c r="S20" i="4" s="1"/>
  <c r="R46" i="4"/>
  <c r="S46" i="4" s="1"/>
  <c r="R50" i="4"/>
  <c r="S50" i="4" s="1"/>
  <c r="R68" i="3"/>
  <c r="S68" i="3" s="1"/>
  <c r="R76" i="3"/>
  <c r="S76" i="3" s="1"/>
  <c r="R47" i="3"/>
  <c r="S47" i="3" s="1"/>
  <c r="R138" i="3"/>
  <c r="S138" i="3" s="1"/>
  <c r="R54" i="3"/>
  <c r="S54" i="3" s="1"/>
  <c r="R63" i="3"/>
  <c r="S63" i="3" s="1"/>
  <c r="R79" i="3"/>
  <c r="S79" i="3" s="1"/>
  <c r="R95" i="3"/>
  <c r="S95" i="3" s="1"/>
  <c r="R114" i="3"/>
  <c r="S114" i="3" s="1"/>
  <c r="R59" i="3"/>
  <c r="S59" i="3" s="1"/>
  <c r="R67" i="3"/>
  <c r="S67" i="3" s="1"/>
  <c r="R45" i="3"/>
  <c r="S45" i="3" s="1"/>
  <c r="R113" i="3"/>
  <c r="S113" i="3" s="1"/>
  <c r="R99" i="3"/>
  <c r="S99" i="3" s="1"/>
  <c r="R53" i="3"/>
  <c r="S53" i="3" s="1"/>
  <c r="R43" i="3"/>
  <c r="S43" i="3" s="1"/>
  <c r="R69" i="3"/>
  <c r="S69" i="3" s="1"/>
  <c r="R77" i="3"/>
  <c r="S77" i="3" s="1"/>
  <c r="R101" i="3"/>
  <c r="S101" i="3" s="1"/>
  <c r="R104" i="3"/>
  <c r="S104" i="3" s="1"/>
  <c r="R85" i="3"/>
  <c r="S85" i="3" s="1"/>
  <c r="R93" i="3"/>
  <c r="S93" i="3" s="1"/>
  <c r="R122" i="3"/>
  <c r="S122" i="3" s="1"/>
  <c r="R130" i="3"/>
  <c r="S130" i="3" s="1"/>
  <c r="R75" i="3"/>
  <c r="S75" i="3" s="1"/>
  <c r="R112" i="3"/>
  <c r="S112" i="3" s="1"/>
  <c r="R120" i="3"/>
  <c r="S120" i="3" s="1"/>
  <c r="R128" i="3"/>
  <c r="S128" i="3" s="1"/>
  <c r="R86" i="3"/>
  <c r="S86" i="3" s="1"/>
  <c r="R44" i="3"/>
  <c r="S44" i="3" s="1"/>
  <c r="R71" i="3"/>
  <c r="S71" i="3" s="1"/>
  <c r="R100" i="3"/>
  <c r="S100" i="3" s="1"/>
  <c r="R108" i="3"/>
  <c r="S108" i="3" s="1"/>
  <c r="R121" i="3"/>
  <c r="S121" i="3" s="1"/>
  <c r="R61" i="3"/>
  <c r="S61" i="3" s="1"/>
  <c r="R52" i="3"/>
  <c r="S52" i="3" s="1"/>
  <c r="R58" i="3"/>
  <c r="S58" i="3" s="1"/>
  <c r="R66" i="3"/>
  <c r="R84" i="3"/>
  <c r="S84" i="3" s="1"/>
  <c r="R97" i="3"/>
  <c r="S97" i="3" s="1"/>
  <c r="R105" i="3"/>
  <c r="S105" i="3" s="1"/>
  <c r="R123" i="3"/>
  <c r="S123" i="3" s="1"/>
  <c r="R56" i="3"/>
  <c r="S56" i="3" s="1"/>
  <c r="R103" i="3"/>
  <c r="S103" i="3" s="1"/>
  <c r="R126" i="3"/>
  <c r="S126" i="3" s="1"/>
  <c r="R134" i="3"/>
  <c r="S134" i="3" s="1"/>
  <c r="R50" i="3"/>
  <c r="S50" i="3" s="1"/>
  <c r="R72" i="3"/>
  <c r="S72" i="3" s="1"/>
  <c r="R82" i="3"/>
  <c r="S82" i="3" s="1"/>
  <c r="R90" i="3"/>
  <c r="S90" i="3" s="1"/>
  <c r="R98" i="3"/>
  <c r="S98" i="3" s="1"/>
  <c r="R106" i="3"/>
  <c r="S106" i="3" s="1"/>
  <c r="R116" i="3"/>
  <c r="S116" i="3" s="1"/>
  <c r="R132" i="3"/>
  <c r="S132" i="3" s="1"/>
  <c r="R137" i="3"/>
  <c r="S137" i="3" s="1"/>
  <c r="R48" i="3"/>
  <c r="S48" i="3" s="1"/>
  <c r="R51" i="3"/>
  <c r="S51" i="3" s="1"/>
  <c r="R57" i="3"/>
  <c r="S57" i="3" s="1"/>
  <c r="R65" i="3"/>
  <c r="S65" i="3" s="1"/>
  <c r="R80" i="3"/>
  <c r="S80" i="3" s="1"/>
  <c r="R83" i="3"/>
  <c r="S83" i="3" s="1"/>
  <c r="R88" i="3"/>
  <c r="S88" i="3" s="1"/>
  <c r="R91" i="3"/>
  <c r="S91" i="3" s="1"/>
  <c r="R109" i="3"/>
  <c r="S109" i="3" s="1"/>
  <c r="R119" i="3"/>
  <c r="S119" i="3" s="1"/>
  <c r="R127" i="3"/>
  <c r="S127" i="3" s="1"/>
  <c r="R135" i="3"/>
  <c r="S135" i="3" s="1"/>
  <c r="R102" i="3"/>
  <c r="S102" i="3" s="1"/>
  <c r="R117" i="3"/>
  <c r="S117" i="3" s="1"/>
  <c r="R125" i="3"/>
  <c r="S125" i="3" s="1"/>
  <c r="R46" i="3"/>
  <c r="S46" i="3" s="1"/>
  <c r="R73" i="3"/>
  <c r="S73" i="3" s="1"/>
  <c r="R78" i="3"/>
  <c r="S78" i="3" s="1"/>
  <c r="R110" i="3"/>
  <c r="S110" i="3" s="1"/>
  <c r="R115" i="3"/>
  <c r="S115" i="3" s="1"/>
  <c r="R49" i="3"/>
  <c r="S49" i="3" s="1"/>
  <c r="R118" i="3"/>
  <c r="S118" i="3" s="1"/>
  <c r="R64" i="3"/>
  <c r="S64" i="3" s="1"/>
  <c r="R74" i="3"/>
  <c r="S74" i="3" s="1"/>
  <c r="R96" i="3"/>
  <c r="S96" i="3" s="1"/>
  <c r="R111" i="3"/>
  <c r="S111" i="3" s="1"/>
  <c r="R133" i="3"/>
  <c r="S133" i="3" s="1"/>
  <c r="R81" i="3"/>
  <c r="S81" i="3" s="1"/>
  <c r="R62" i="3"/>
  <c r="S62" i="3" s="1"/>
  <c r="R89" i="3"/>
  <c r="S89" i="3" s="1"/>
  <c r="R94" i="3"/>
  <c r="S94" i="3" s="1"/>
  <c r="R131" i="3"/>
  <c r="S131" i="3" s="1"/>
  <c r="R60" i="3"/>
  <c r="S60" i="3" s="1"/>
  <c r="R87" i="3"/>
  <c r="S87" i="3" s="1"/>
  <c r="R92" i="3"/>
  <c r="S92" i="3" s="1"/>
  <c r="R124" i="3"/>
  <c r="S124" i="3" s="1"/>
  <c r="R129" i="3"/>
  <c r="S129" i="3" s="1"/>
  <c r="R70" i="3"/>
  <c r="S70" i="3" s="1"/>
  <c r="R107" i="3"/>
  <c r="S107" i="3" s="1"/>
  <c r="R139" i="3"/>
  <c r="S139" i="3" s="1"/>
  <c r="S66" i="3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42" i="3"/>
  <c r="R8" i="5" l="1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2" i="3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s="1"/>
  <c r="S8" i="3" s="1"/>
  <c r="R18" i="3" l="1"/>
  <c r="S18" i="3" s="1"/>
  <c r="R9" i="3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<sst xmlns="http://schemas.openxmlformats.org/spreadsheetml/2006/main" count="240" uniqueCount="93">
  <si>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</si>
  <si>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</si>
  <si>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</si>
  <si>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</si>
  <si>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</si>
  <si>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</si>
  <si>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</si>
  <si>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</si>
  <si>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</si>
  <si>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</si>
  <si>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</si>
  <si>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</si>
  <si>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</si>
  <si>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</si>
  <si>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</si>
  <si>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</si>
  <si>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</si>
  <si>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</si>
  <si>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</si>
  <si>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</si>
  <si>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</si>
  <si>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</si>
  <si>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</si>
  <si>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</si>
  <si>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</si>
  <si>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</si>
  <si>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</si>
  <si>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</si>
  <si>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</si>
  <si>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</si>
  <si>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</si>
  <si>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</si>
  <si>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</si>
  <si>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</si>
  <si>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</si>
  <si>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</si>
  <si>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</si>
  <si>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</si>
  <si>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</si>
  <si>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</si>
  <si>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</si>
  <si>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</si>
  <si>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</si>
  <si>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</si>
  <si>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</si>
  <si>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</si>
  <si>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</si>
  <si>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</si>
  <si>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</si>
  <si>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</si>
  <si>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</si>
  <si>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</si>
  <si>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</si>
  <si>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</si>
  <si>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</si>
  <si>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</si>
  <si>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</si>
  <si>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</si>
  <si>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</si>
  <si>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</si>
  <si>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</si>
  <si>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</si>
  <si>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</si>
  <si>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</si>
  <si>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</si>
  <si>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</si>
  <si>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</si>
  <si>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</si>
  <si>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</si>
  <si>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</si>
  <si>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</si>
  <si>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</si>
  <si>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2019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</si>
  <si>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</si>
  <si>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</si>
  <si>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</si>
  <si>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</si>
  <si>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</si>
  <si>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</si>
  <si>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</si>
  <si>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</si>
  <si>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</si>
  <si>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</si>
  <si>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r>
      <t>Septembre-20</t>
    </r>
    <r>
      <rPr>
        <vertAlign val="superscript"/>
        <sz val="12"/>
        <rFont val="Calibri"/>
        <family val="2"/>
        <scheme val="minor"/>
      </rPr>
      <t>(p)</t>
    </r>
  </si>
  <si>
    <t>2020</t>
  </si>
  <si>
    <r>
      <t>Octobre-20</t>
    </r>
    <r>
      <rPr>
        <vertAlign val="superscript"/>
        <sz val="12"/>
        <rFont val="Calibri"/>
        <family val="2"/>
        <scheme val="minor"/>
      </rPr>
      <t>(p)</t>
    </r>
  </si>
  <si>
    <r>
      <t>Novembre-20</t>
    </r>
    <r>
      <rPr>
        <vertAlign val="superscript"/>
        <sz val="12"/>
        <rFont val="Calibri"/>
        <family val="2"/>
        <scheme val="minor"/>
      </rPr>
      <t>(p)</t>
    </r>
  </si>
  <si>
    <r>
      <t>Décembre-20</t>
    </r>
    <r>
      <rPr>
        <vertAlign val="superscript"/>
        <sz val="12"/>
        <rFont val="Calibri"/>
        <family val="2"/>
        <scheme val="minor"/>
      </rPr>
      <t>(p)</t>
    </r>
  </si>
  <si>
    <r>
      <t>2020</t>
    </r>
    <r>
      <rPr>
        <vertAlign val="superscript"/>
        <sz val="12"/>
        <rFont val="Calibri"/>
        <family val="2"/>
        <scheme val="minor"/>
      </rPr>
      <t>(p)</t>
    </r>
  </si>
  <si>
    <t>Q1-2021</t>
  </si>
  <si>
    <r>
      <t>Janvier-21</t>
    </r>
    <r>
      <rPr>
        <vertAlign val="superscript"/>
        <sz val="12"/>
        <rFont val="Calibri"/>
        <family val="2"/>
        <scheme val="minor"/>
      </rPr>
      <t>(p)</t>
    </r>
  </si>
  <si>
    <r>
      <t>Février-21</t>
    </r>
    <r>
      <rPr>
        <vertAlign val="superscript"/>
        <sz val="12"/>
        <rFont val="Calibri"/>
        <family val="2"/>
        <scheme val="minor"/>
      </rPr>
      <t>(p)</t>
    </r>
  </si>
  <si>
    <r>
      <t>Mars-21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</si>
</sst>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8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E11" sqref="E11:E13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44286</v>
      </c>
    </row>
    <row r="12" spans="2:5">
      <c r="B12" s="25" t="s">
        <v>28</v>
      </c>
      <c r="C12" s="26" t="s">
        <v>37</v>
      </c>
      <c r="D12" s="26" t="s">
        <v>28</v>
      </c>
      <c r="E12" s="28" t="s">
        <v>89</v>
      </c>
    </row>
    <row r="13" spans="2:5">
      <c r="B13" s="25" t="s">
        <v>29</v>
      </c>
      <c r="C13" s="26" t="s">
        <v>38</v>
      </c>
      <c r="D13" s="26" t="s">
        <v>29</v>
      </c>
      <c r="E13" s="27" t="s">
        <v>84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70"/>
  <sheetViews>
    <sheetView tabSelected="1" workbookViewId="0">
      <pane xSplit="1" ySplit="7" topLeftCell="B161" activePane="bottomRight" state="frozen"/>
      <selection pane="topRight" activeCell="B1" sqref="B1"/>
      <selection pane="bottomLeft" activeCell="A8" sqref="A8"/>
      <selection pane="bottomRight" activeCell="A159" sqref="A159:A166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39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39" si="2">L8+Q8</f>
        <v>368336.80000000005</v>
      </c>
      <c r="S8" s="14">
        <f t="shared" ref="S8:S39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42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ref="L40:L42" si="5">SUM(E40:K40)</f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ref="R40:R42" si="6">L40+Q40</f>
        <v>687759.5</v>
      </c>
      <c r="S40" s="14">
        <f t="shared" ref="S40:S42" si="7">R40+D40</f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5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6"/>
        <v>680260.5</v>
      </c>
      <c r="S41" s="14">
        <f t="shared" si="7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5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6"/>
        <v>697359.5</v>
      </c>
      <c r="S42" s="14">
        <f t="shared" si="7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ref="D43:D91" si="8">SUM(B43:C43)</f>
        <v>252700.79999999993</v>
      </c>
      <c r="E43" s="14">
        <v>19134.2</v>
      </c>
      <c r="F43" s="14">
        <v>109938.3</v>
      </c>
      <c r="G43" s="14">
        <v>14362.999999999998</v>
      </c>
      <c r="H43" s="52">
        <v>88925</v>
      </c>
      <c r="I43" s="52">
        <v>145130.9</v>
      </c>
      <c r="J43" s="53">
        <v>-154580.5</v>
      </c>
      <c r="K43" s="14">
        <v>-11748.2</v>
      </c>
      <c r="L43" s="14">
        <f t="shared" ref="L43" si="9">SUM( (E43:K43))</f>
        <v>211162.7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>SUM(M43:P43)</f>
        <v>515612.10000000003</v>
      </c>
      <c r="R43" s="14">
        <f t="shared" ref="R43" si="10">SUM(L43,Q43)</f>
        <v>726774.8</v>
      </c>
      <c r="S43" s="14">
        <f t="shared" ref="S43" si="11">SUM(D43,R43)</f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8"/>
        <v>238128.2</v>
      </c>
      <c r="E44" s="14">
        <v>0</v>
      </c>
      <c r="F44" s="14">
        <v>120955.8</v>
      </c>
      <c r="G44" s="14">
        <v>11866.4</v>
      </c>
      <c r="H44" s="52">
        <v>88925</v>
      </c>
      <c r="I44" s="52">
        <v>144822.79999999999</v>
      </c>
      <c r="J44" s="53">
        <v>-178256.98333333334</v>
      </c>
      <c r="K44" s="14">
        <v>-9081.1</v>
      </c>
      <c r="L44" s="14">
        <f t="shared" ref="L44:L55" si="12">SUM( (E44:K44))</f>
        <v>179231.91666666666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ref="Q44:Q103" si="13">SUM(M44:P44)</f>
        <v>521087.8833333333</v>
      </c>
      <c r="R44" s="14">
        <f t="shared" ref="R44:R55" si="14">SUM(L44,Q44)</f>
        <v>700319.79999999993</v>
      </c>
      <c r="S44" s="14">
        <f t="shared" ref="S44:S55" si="15">SUM(D44,R44)</f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8"/>
        <v>255487.80000000005</v>
      </c>
      <c r="E45" s="14">
        <v>0</v>
      </c>
      <c r="F45" s="14">
        <v>130860.5</v>
      </c>
      <c r="G45" s="14">
        <v>10899.3</v>
      </c>
      <c r="H45" s="52">
        <v>88925</v>
      </c>
      <c r="I45" s="52">
        <v>144514.70000000001</v>
      </c>
      <c r="J45" s="53">
        <v>-211635.06666666665</v>
      </c>
      <c r="K45" s="14">
        <v>-11244.5</v>
      </c>
      <c r="L45" s="14">
        <f t="shared" si="12"/>
        <v>152319.93333333335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13"/>
        <v>537658.2666666666</v>
      </c>
      <c r="R45" s="14">
        <f t="shared" si="14"/>
        <v>689978.2</v>
      </c>
      <c r="S45" s="14">
        <f t="shared" si="15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8"/>
        <v>246404.79999999993</v>
      </c>
      <c r="E46" s="14">
        <v>2480.5</v>
      </c>
      <c r="F46" s="14">
        <v>120400.09999999999</v>
      </c>
      <c r="G46" s="14">
        <v>13218.2</v>
      </c>
      <c r="H46" s="52">
        <v>74325</v>
      </c>
      <c r="I46" s="52">
        <v>144206.6</v>
      </c>
      <c r="J46" s="53">
        <v>-168071.85</v>
      </c>
      <c r="K46" s="14">
        <v>-9395.7999999999993</v>
      </c>
      <c r="L46" s="14">
        <f t="shared" si="12"/>
        <v>177162.75000000003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13"/>
        <v>546898.84999999986</v>
      </c>
      <c r="R46" s="14">
        <f t="shared" si="14"/>
        <v>724061.59999999986</v>
      </c>
      <c r="S46" s="14">
        <f t="shared" si="15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8"/>
        <v>248993.19999999995</v>
      </c>
      <c r="E47" s="14">
        <v>0</v>
      </c>
      <c r="F47" s="14">
        <v>122799.90000000001</v>
      </c>
      <c r="G47" s="14">
        <v>15981.800000000001</v>
      </c>
      <c r="H47" s="52">
        <v>74325</v>
      </c>
      <c r="I47" s="52">
        <v>143898.4</v>
      </c>
      <c r="J47" s="53">
        <v>-173242.33333333331</v>
      </c>
      <c r="K47" s="14">
        <v>-11236.499999999998</v>
      </c>
      <c r="L47" s="14">
        <f t="shared" si="12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13"/>
        <v>554066.83333333337</v>
      </c>
      <c r="R47" s="14">
        <f t="shared" si="14"/>
        <v>726593.10000000009</v>
      </c>
      <c r="S47" s="14">
        <f t="shared" si="15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8"/>
        <v>239179.60000000003</v>
      </c>
      <c r="E48" s="14">
        <v>12986.3</v>
      </c>
      <c r="F48" s="14">
        <v>125073.99999999999</v>
      </c>
      <c r="G48" s="14">
        <v>19801</v>
      </c>
      <c r="H48" s="52">
        <v>74325</v>
      </c>
      <c r="I48" s="52">
        <v>143590.29999999999</v>
      </c>
      <c r="J48" s="53">
        <v>-191152.81666666665</v>
      </c>
      <c r="K48" s="14">
        <v>-10405.5</v>
      </c>
      <c r="L48" s="14">
        <f t="shared" si="12"/>
        <v>174218.28333333333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13"/>
        <v>575108.41666666674</v>
      </c>
      <c r="R48" s="14">
        <f t="shared" si="14"/>
        <v>749326.70000000007</v>
      </c>
      <c r="S48" s="14">
        <f t="shared" si="15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8"/>
        <v>222926.60000000003</v>
      </c>
      <c r="E49" s="14">
        <v>24462.799999999999</v>
      </c>
      <c r="F49" s="14">
        <v>118274.7</v>
      </c>
      <c r="G49" s="14">
        <v>18392.2</v>
      </c>
      <c r="H49" s="52">
        <v>74325</v>
      </c>
      <c r="I49" s="52">
        <v>143282.1</v>
      </c>
      <c r="J49" s="53">
        <v>-178609.6</v>
      </c>
      <c r="K49" s="14">
        <v>-12941</v>
      </c>
      <c r="L49" s="14">
        <f t="shared" si="12"/>
        <v>187186.20000000004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13"/>
        <v>606705.5</v>
      </c>
      <c r="R49" s="14">
        <f t="shared" si="14"/>
        <v>793891.70000000007</v>
      </c>
      <c r="S49" s="14">
        <f t="shared" si="15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8"/>
        <v>213127.7</v>
      </c>
      <c r="E50" s="14">
        <v>31447.8</v>
      </c>
      <c r="F50" s="14">
        <v>120374.7</v>
      </c>
      <c r="G50" s="14">
        <v>16717.900000000001</v>
      </c>
      <c r="H50" s="52">
        <v>74325</v>
      </c>
      <c r="I50" s="52">
        <v>142974</v>
      </c>
      <c r="J50" s="53">
        <v>-159708.54999999999</v>
      </c>
      <c r="K50" s="14">
        <v>-12144.3</v>
      </c>
      <c r="L50" s="14">
        <f t="shared" si="12"/>
        <v>213986.55000000005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13"/>
        <v>626228.89999999991</v>
      </c>
      <c r="R50" s="14">
        <f t="shared" si="14"/>
        <v>840215.45</v>
      </c>
      <c r="S50" s="14">
        <f t="shared" si="15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8"/>
        <v>195624.7</v>
      </c>
      <c r="E51" s="14">
        <v>35035.800000000003</v>
      </c>
      <c r="F51" s="14">
        <v>105018.2</v>
      </c>
      <c r="G51" s="14">
        <v>14239</v>
      </c>
      <c r="H51" s="52">
        <v>74325</v>
      </c>
      <c r="I51" s="52">
        <v>142665.9</v>
      </c>
      <c r="J51" s="53">
        <v>-157664.40000000002</v>
      </c>
      <c r="K51" s="14">
        <v>-13843.4</v>
      </c>
      <c r="L51" s="14">
        <f t="shared" si="12"/>
        <v>199776.1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13"/>
        <v>645893.9</v>
      </c>
      <c r="R51" s="14">
        <f t="shared" si="14"/>
        <v>845670</v>
      </c>
      <c r="S51" s="14">
        <f t="shared" si="15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8"/>
        <v>168393.30000000005</v>
      </c>
      <c r="E52" s="14">
        <v>29256.3</v>
      </c>
      <c r="F52" s="14">
        <v>107818.2</v>
      </c>
      <c r="G52" s="14">
        <v>13355.400000000001</v>
      </c>
      <c r="H52" s="52">
        <v>74325</v>
      </c>
      <c r="I52" s="52">
        <v>142357.70000000001</v>
      </c>
      <c r="J52" s="53">
        <v>-153334.25</v>
      </c>
      <c r="K52" s="14">
        <v>-13503.9</v>
      </c>
      <c r="L52" s="14">
        <f t="shared" si="12"/>
        <v>200274.44999999998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13"/>
        <v>653326.60000000009</v>
      </c>
      <c r="R52" s="14">
        <f t="shared" si="14"/>
        <v>853601.05</v>
      </c>
      <c r="S52" s="14">
        <f t="shared" si="15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8"/>
        <v>152507.70000000007</v>
      </c>
      <c r="E53" s="14">
        <v>29858.9</v>
      </c>
      <c r="F53" s="14">
        <v>106218.2</v>
      </c>
      <c r="G53" s="14">
        <v>14507.2</v>
      </c>
      <c r="H53" s="52">
        <v>94325</v>
      </c>
      <c r="I53" s="52">
        <v>142049.60000000001</v>
      </c>
      <c r="J53" s="53">
        <v>-161733.70000000001</v>
      </c>
      <c r="K53" s="14">
        <v>-14274.7</v>
      </c>
      <c r="L53" s="14">
        <f t="shared" si="12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13"/>
        <v>670585.19999999984</v>
      </c>
      <c r="R53" s="14">
        <f t="shared" si="14"/>
        <v>881535.69999999984</v>
      </c>
      <c r="S53" s="14">
        <f t="shared" si="15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8"/>
        <v>160105.79999999999</v>
      </c>
      <c r="E54" s="14">
        <v>13631.5</v>
      </c>
      <c r="F54" s="14">
        <v>95718.2</v>
      </c>
      <c r="G54" s="14">
        <v>14376.4</v>
      </c>
      <c r="H54" s="52">
        <v>94325</v>
      </c>
      <c r="I54" s="52">
        <v>142049.60000000001</v>
      </c>
      <c r="J54" s="53">
        <v>-164714.94999999998</v>
      </c>
      <c r="K54" s="14">
        <v>-14823.400000000001</v>
      </c>
      <c r="L54" s="14">
        <f t="shared" si="12"/>
        <v>180562.34999999998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13"/>
        <v>680667.40000000014</v>
      </c>
      <c r="R54" s="14">
        <f t="shared" si="14"/>
        <v>861229.75000000012</v>
      </c>
      <c r="S54" s="14">
        <f t="shared" si="15"/>
        <v>1021335.55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8"/>
        <v>204437.7</v>
      </c>
      <c r="E55" s="14">
        <v>86260.6</v>
      </c>
      <c r="F55" s="14">
        <v>85318.2</v>
      </c>
      <c r="G55" s="14">
        <v>15025.099999999999</v>
      </c>
      <c r="H55" s="52">
        <v>94325</v>
      </c>
      <c r="I55" s="52">
        <v>141433.29999999999</v>
      </c>
      <c r="J55" s="53">
        <v>-175871.7</v>
      </c>
      <c r="K55" s="14">
        <v>-14154.1</v>
      </c>
      <c r="L55" s="14">
        <f t="shared" si="12"/>
        <v>232336.4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13"/>
        <v>669978.29999999993</v>
      </c>
      <c r="R55" s="14">
        <f t="shared" si="14"/>
        <v>902314.7</v>
      </c>
      <c r="S55" s="14">
        <f t="shared" si="15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8"/>
        <v>237312.4000000002</v>
      </c>
      <c r="E56" s="14">
        <v>23225.200000000001</v>
      </c>
      <c r="F56" s="14">
        <v>86241.2</v>
      </c>
      <c r="G56" s="14">
        <v>15587.4</v>
      </c>
      <c r="H56" s="52">
        <v>94325</v>
      </c>
      <c r="I56" s="52">
        <v>141125.20000000001</v>
      </c>
      <c r="J56" s="53">
        <v>-187739.15000000002</v>
      </c>
      <c r="K56" s="14">
        <v>-16320.800000000001</v>
      </c>
      <c r="L56" s="14">
        <f t="shared" ref="L56:L67" si="16">SUM( (E56:K56))</f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13"/>
        <v>674384.7416666667</v>
      </c>
      <c r="R56" s="14">
        <f t="shared" ref="R56:R67" si="17">SUM(L56,Q56)</f>
        <v>830828.79166666674</v>
      </c>
      <c r="S56" s="14">
        <f t="shared" ref="S56:S67" si="18">SUM(D56,R56)</f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8"/>
        <v>220404.90000000002</v>
      </c>
      <c r="E57" s="14">
        <v>19733.599999999999</v>
      </c>
      <c r="F57" s="14">
        <v>82384.899999999994</v>
      </c>
      <c r="G57" s="14">
        <v>15368.5</v>
      </c>
      <c r="H57" s="52">
        <v>94325</v>
      </c>
      <c r="I57" s="52">
        <v>140817.1</v>
      </c>
      <c r="J57" s="53">
        <v>-173624.5</v>
      </c>
      <c r="K57" s="14">
        <v>-17114.3</v>
      </c>
      <c r="L57" s="14">
        <f t="shared" si="16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13"/>
        <v>680455.78333333333</v>
      </c>
      <c r="R57" s="14">
        <f t="shared" si="17"/>
        <v>842346.08333333326</v>
      </c>
      <c r="S57" s="14">
        <f t="shared" si="18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8"/>
        <v>185094.00000000017</v>
      </c>
      <c r="E58" s="14">
        <v>41361.199999999997</v>
      </c>
      <c r="F58" s="14">
        <v>73584.899999999994</v>
      </c>
      <c r="G58" s="14">
        <v>16899.8</v>
      </c>
      <c r="H58" s="52">
        <v>94325</v>
      </c>
      <c r="I58" s="52">
        <v>140508.9</v>
      </c>
      <c r="J58" s="53">
        <v>-190087.25</v>
      </c>
      <c r="K58" s="14">
        <v>-16840.8</v>
      </c>
      <c r="L58" s="14">
        <f t="shared" si="16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13"/>
        <v>689938.82500000007</v>
      </c>
      <c r="R58" s="14">
        <f t="shared" si="17"/>
        <v>849690.57500000007</v>
      </c>
      <c r="S58" s="14">
        <f t="shared" si="18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8"/>
        <v>163110.60000000015</v>
      </c>
      <c r="E59" s="14">
        <v>51796.5</v>
      </c>
      <c r="F59" s="14">
        <v>69078.7</v>
      </c>
      <c r="G59" s="14">
        <v>18207.900000000001</v>
      </c>
      <c r="H59" s="52">
        <v>94325</v>
      </c>
      <c r="I59" s="52">
        <v>140200.79999999999</v>
      </c>
      <c r="J59" s="53">
        <v>-168084.69999999998</v>
      </c>
      <c r="K59" s="14">
        <v>-19564.399999999994</v>
      </c>
      <c r="L59" s="14">
        <f t="shared" si="16"/>
        <v>185959.80000000005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13"/>
        <v>696858.3666666667</v>
      </c>
      <c r="R59" s="14">
        <f t="shared" si="17"/>
        <v>882818.16666666674</v>
      </c>
      <c r="S59" s="14">
        <f t="shared" si="18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8"/>
        <v>143120.50000000012</v>
      </c>
      <c r="E60" s="14">
        <v>32561.9</v>
      </c>
      <c r="F60" s="14">
        <v>67634.900000000009</v>
      </c>
      <c r="G60" s="14">
        <v>16763.7</v>
      </c>
      <c r="H60" s="52">
        <v>94325</v>
      </c>
      <c r="I60" s="52">
        <v>140200.79999999999</v>
      </c>
      <c r="J60" s="53">
        <v>-153089.25</v>
      </c>
      <c r="K60" s="14">
        <v>-13236.300000000001</v>
      </c>
      <c r="L60" s="14">
        <f t="shared" si="16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13"/>
        <v>727450.60833333328</v>
      </c>
      <c r="R60" s="14">
        <f t="shared" si="17"/>
        <v>912611.35833333328</v>
      </c>
      <c r="S60" s="14">
        <f t="shared" si="18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8"/>
        <v>127097.30000000005</v>
      </c>
      <c r="E61" s="14">
        <v>49375</v>
      </c>
      <c r="F61" s="14">
        <v>63934.9</v>
      </c>
      <c r="G61" s="14">
        <v>19388.099999999999</v>
      </c>
      <c r="H61" s="52">
        <v>94325</v>
      </c>
      <c r="I61" s="52">
        <v>139584.5</v>
      </c>
      <c r="J61" s="53">
        <v>-147162.30000000002</v>
      </c>
      <c r="K61" s="14">
        <v>-13565.2</v>
      </c>
      <c r="L61" s="14">
        <f t="shared" si="16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13"/>
        <v>751668.55000000016</v>
      </c>
      <c r="R61" s="14">
        <f t="shared" si="17"/>
        <v>957548.55000000016</v>
      </c>
      <c r="S61" s="14">
        <f t="shared" si="18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8"/>
        <v>144242.10000000009</v>
      </c>
      <c r="E62" s="14">
        <v>53695.7</v>
      </c>
      <c r="F62" s="14">
        <v>53318.200000000004</v>
      </c>
      <c r="G62" s="14">
        <v>17585.466666666667</v>
      </c>
      <c r="H62" s="52">
        <v>108925</v>
      </c>
      <c r="I62" s="52">
        <v>139276.4</v>
      </c>
      <c r="J62" s="53">
        <v>-144118.81666666665</v>
      </c>
      <c r="K62" s="14">
        <v>-16513.699999999997</v>
      </c>
      <c r="L62" s="14">
        <f t="shared" si="16"/>
        <v>212168.25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13"/>
        <v>755931.37499999988</v>
      </c>
      <c r="R62" s="14">
        <f t="shared" si="17"/>
        <v>968099.62499999988</v>
      </c>
      <c r="S62" s="14">
        <f t="shared" si="18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8"/>
        <v>140910.00000000006</v>
      </c>
      <c r="E63" s="14">
        <v>65092</v>
      </c>
      <c r="F63" s="14">
        <v>45569</v>
      </c>
      <c r="G63" s="14">
        <v>14430.233333333332</v>
      </c>
      <c r="H63" s="52">
        <v>108925</v>
      </c>
      <c r="I63" s="52">
        <v>138968.29999999999</v>
      </c>
      <c r="J63" s="53">
        <v>-131777.33333333334</v>
      </c>
      <c r="K63" s="14">
        <v>-18916.900000000001</v>
      </c>
      <c r="L63" s="14">
        <f t="shared" si="16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13"/>
        <v>774962.20000000007</v>
      </c>
      <c r="R63" s="14">
        <f t="shared" si="17"/>
        <v>997252.5</v>
      </c>
      <c r="S63" s="14">
        <f t="shared" si="18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si="8"/>
        <v>160242.70000000001</v>
      </c>
      <c r="E64" s="14">
        <v>51763.199999999997</v>
      </c>
      <c r="F64" s="14">
        <v>39000.600000000006</v>
      </c>
      <c r="G64" s="14">
        <v>14652.699999999999</v>
      </c>
      <c r="H64" s="52">
        <v>108925</v>
      </c>
      <c r="I64" s="52">
        <v>138968.29999999999</v>
      </c>
      <c r="J64" s="53">
        <v>-134374.44999999998</v>
      </c>
      <c r="K64" s="14">
        <v>-15255.2</v>
      </c>
      <c r="L64" s="14">
        <f t="shared" si="16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13"/>
        <v>767549.52500000002</v>
      </c>
      <c r="R64" s="14">
        <f t="shared" si="17"/>
        <v>971229.67500000005</v>
      </c>
      <c r="S64" s="14">
        <f t="shared" si="18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8"/>
        <v>149488.40000000008</v>
      </c>
      <c r="E65" s="14">
        <v>78836.5</v>
      </c>
      <c r="F65" s="14">
        <v>35069</v>
      </c>
      <c r="G65" s="14">
        <v>15016.266666666666</v>
      </c>
      <c r="H65" s="52">
        <v>108925</v>
      </c>
      <c r="I65" s="52">
        <v>138352</v>
      </c>
      <c r="J65" s="53">
        <v>-153184.06666666665</v>
      </c>
      <c r="K65" s="14">
        <v>-14718.9</v>
      </c>
      <c r="L65" s="14">
        <f t="shared" si="16"/>
        <v>208295.80000000002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13"/>
        <v>776707.24999999988</v>
      </c>
      <c r="R65" s="14">
        <f t="shared" si="17"/>
        <v>985003.04999999993</v>
      </c>
      <c r="S65" s="14">
        <f t="shared" si="18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8"/>
        <v>156666.60000000009</v>
      </c>
      <c r="E66" s="14">
        <v>104206.5</v>
      </c>
      <c r="F66" s="14">
        <v>36698.700000000004</v>
      </c>
      <c r="G66" s="14">
        <v>16546.633333333331</v>
      </c>
      <c r="H66" s="52">
        <v>108925</v>
      </c>
      <c r="I66" s="52">
        <v>138043.9</v>
      </c>
      <c r="J66" s="53">
        <v>-154733.68333333335</v>
      </c>
      <c r="K66" s="14">
        <v>-17782.100000000002</v>
      </c>
      <c r="L66" s="14">
        <f t="shared" si="16"/>
        <v>231904.95000000004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13"/>
        <v>780349.27500000002</v>
      </c>
      <c r="R66" s="14">
        <f t="shared" si="17"/>
        <v>1012254.2250000001</v>
      </c>
      <c r="S66" s="14">
        <f t="shared" si="18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8"/>
        <v>195824.90000000002</v>
      </c>
      <c r="E67" s="14">
        <v>155251.9</v>
      </c>
      <c r="F67" s="14">
        <v>49858.100000000006</v>
      </c>
      <c r="G67" s="14">
        <v>18678.699999999997</v>
      </c>
      <c r="H67" s="52">
        <v>117037.4</v>
      </c>
      <c r="I67" s="52">
        <v>137735.70000000001</v>
      </c>
      <c r="J67" s="53">
        <v>-183055</v>
      </c>
      <c r="K67" s="14">
        <v>-18296</v>
      </c>
      <c r="L67" s="14">
        <f t="shared" si="16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13"/>
        <v>763973.20000000007</v>
      </c>
      <c r="R67" s="14">
        <f t="shared" si="17"/>
        <v>1041184</v>
      </c>
      <c r="S67" s="14">
        <f t="shared" si="18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8"/>
        <v>195437.20000000007</v>
      </c>
      <c r="E68" s="14">
        <v>0</v>
      </c>
      <c r="F68" s="14">
        <v>53829.600000000006</v>
      </c>
      <c r="G68" s="14">
        <v>15248.016666666666</v>
      </c>
      <c r="H68" s="52">
        <v>115644.1</v>
      </c>
      <c r="I68" s="52">
        <v>292679.5</v>
      </c>
      <c r="J68" s="53">
        <v>-220942.58333333334</v>
      </c>
      <c r="K68" s="14">
        <v>-21555.599999999999</v>
      </c>
      <c r="L68" s="14">
        <f t="shared" ref="L68:L79" si="19">SUM( (E68:K68))</f>
        <v>234903.03333333333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13"/>
        <v>789335.22499999986</v>
      </c>
      <c r="R68" s="14">
        <f t="shared" ref="R68:R79" si="20">SUM(L68,Q68)</f>
        <v>1024238.2583333332</v>
      </c>
      <c r="S68" s="14">
        <f t="shared" ref="S68:S79" si="21">SUM(D68,R68)</f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8"/>
        <v>254942.09999999992</v>
      </c>
      <c r="E69" s="14">
        <v>0</v>
      </c>
      <c r="F69" s="14">
        <v>51191</v>
      </c>
      <c r="G69" s="14">
        <v>16830.933333333331</v>
      </c>
      <c r="H69" s="52">
        <v>114250.8</v>
      </c>
      <c r="I69" s="52">
        <v>292371.40000000002</v>
      </c>
      <c r="J69" s="53">
        <v>-242098.86666666667</v>
      </c>
      <c r="K69" s="14">
        <v>-22934.400000000001</v>
      </c>
      <c r="L69" s="14">
        <f t="shared" si="19"/>
        <v>209610.8666666667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13"/>
        <v>794559.05000000016</v>
      </c>
      <c r="R69" s="14">
        <f t="shared" si="20"/>
        <v>1004169.9166666669</v>
      </c>
      <c r="S69" s="14">
        <f t="shared" si="21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8"/>
        <v>197022.70000000013</v>
      </c>
      <c r="E70" s="14">
        <v>0</v>
      </c>
      <c r="F70" s="14">
        <v>47661.399999999994</v>
      </c>
      <c r="G70" s="14">
        <v>19576.75</v>
      </c>
      <c r="H70" s="52">
        <v>112857.5</v>
      </c>
      <c r="I70" s="52">
        <v>292063.09999999998</v>
      </c>
      <c r="J70" s="53">
        <v>-207125.34999999998</v>
      </c>
      <c r="K70" s="14">
        <v>-23122.7</v>
      </c>
      <c r="L70" s="14">
        <f t="shared" si="19"/>
        <v>241910.7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13"/>
        <v>806260.77499999991</v>
      </c>
      <c r="R70" s="14">
        <f t="shared" si="20"/>
        <v>1048171.4749999999</v>
      </c>
      <c r="S70" s="14">
        <f t="shared" si="21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8"/>
        <v>195811.1999999999</v>
      </c>
      <c r="E71" s="14">
        <v>11186</v>
      </c>
      <c r="F71" s="14">
        <v>42885.399999999994</v>
      </c>
      <c r="G71" s="14">
        <v>21538.766666666663</v>
      </c>
      <c r="H71" s="52">
        <v>111464.2</v>
      </c>
      <c r="I71" s="52">
        <v>291755.09999999998</v>
      </c>
      <c r="J71" s="53">
        <v>-182386.83333333334</v>
      </c>
      <c r="K71" s="14">
        <v>-21146.5</v>
      </c>
      <c r="L71" s="14">
        <f t="shared" si="19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13"/>
        <v>805350.6</v>
      </c>
      <c r="R71" s="14">
        <f t="shared" si="20"/>
        <v>1080646.7333333334</v>
      </c>
      <c r="S71" s="14">
        <f t="shared" si="21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8"/>
        <v>185513.7</v>
      </c>
      <c r="E72" s="14">
        <v>0</v>
      </c>
      <c r="F72" s="14">
        <v>68669</v>
      </c>
      <c r="G72" s="14">
        <v>17840.283333333333</v>
      </c>
      <c r="H72" s="52">
        <v>110070.9</v>
      </c>
      <c r="I72" s="52">
        <v>291446.90000000002</v>
      </c>
      <c r="J72" s="53">
        <v>-199261.81666666665</v>
      </c>
      <c r="K72" s="14">
        <v>-19112.000000000004</v>
      </c>
      <c r="L72" s="14">
        <f t="shared" si="19"/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13"/>
        <v>812119.72499999986</v>
      </c>
      <c r="R72" s="14">
        <f t="shared" si="20"/>
        <v>1081772.9916666667</v>
      </c>
      <c r="S72" s="14">
        <f t="shared" si="21"/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8"/>
        <v>158040.10000000009</v>
      </c>
      <c r="E73" s="14">
        <v>0</v>
      </c>
      <c r="F73" s="14">
        <v>70934.600000000006</v>
      </c>
      <c r="G73" s="14">
        <v>19801.3</v>
      </c>
      <c r="H73" s="52">
        <v>108677.6</v>
      </c>
      <c r="I73" s="52">
        <v>291138.8</v>
      </c>
      <c r="J73" s="53">
        <v>-190628.9</v>
      </c>
      <c r="K73" s="14">
        <v>-15910.9</v>
      </c>
      <c r="L73" s="14">
        <f t="shared" si="19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13"/>
        <v>817820.15</v>
      </c>
      <c r="R73" s="14">
        <f t="shared" si="20"/>
        <v>1101832.6499999999</v>
      </c>
      <c r="S73" s="14">
        <f t="shared" si="21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8"/>
        <v>184928.50000000006</v>
      </c>
      <c r="E74" s="14">
        <v>0</v>
      </c>
      <c r="F74" s="14">
        <v>100965.3</v>
      </c>
      <c r="G74" s="14">
        <v>18239.399999999998</v>
      </c>
      <c r="H74" s="52">
        <v>107284.3</v>
      </c>
      <c r="I74" s="52">
        <v>290830.7</v>
      </c>
      <c r="J74" s="53">
        <v>-245678.7</v>
      </c>
      <c r="K74" s="14">
        <v>-18379.300000000003</v>
      </c>
      <c r="L74" s="14">
        <f t="shared" si="19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13"/>
        <v>840879.60833333316</v>
      </c>
      <c r="R74" s="14">
        <f t="shared" si="20"/>
        <v>1094141.3083333331</v>
      </c>
      <c r="S74" s="14">
        <f t="shared" si="21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8"/>
        <v>167135.60000000003</v>
      </c>
      <c r="E75" s="14">
        <v>0</v>
      </c>
      <c r="F75" s="14">
        <v>96477.700000000012</v>
      </c>
      <c r="G75" s="14">
        <v>25452.9</v>
      </c>
      <c r="H75" s="52">
        <v>107284.3</v>
      </c>
      <c r="I75" s="52">
        <v>290830.7</v>
      </c>
      <c r="J75" s="53">
        <v>-197547.4</v>
      </c>
      <c r="K75" s="14">
        <v>-19610.8</v>
      </c>
      <c r="L75" s="14">
        <f t="shared" si="19"/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si="13"/>
        <v>846706.66666666663</v>
      </c>
      <c r="R75" s="14">
        <f t="shared" si="20"/>
        <v>1149594.0666666667</v>
      </c>
      <c r="S75" s="14">
        <f t="shared" si="21"/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8"/>
        <v>164367.40000000002</v>
      </c>
      <c r="E76" s="14">
        <v>0</v>
      </c>
      <c r="F76" s="14">
        <v>104499.4</v>
      </c>
      <c r="G76" s="14">
        <v>23015.4</v>
      </c>
      <c r="H76" s="52">
        <v>107284.3</v>
      </c>
      <c r="I76" s="52">
        <v>290214.40000000002</v>
      </c>
      <c r="J76" s="53">
        <v>-213388.5</v>
      </c>
      <c r="K76" s="14">
        <v>-21460.2</v>
      </c>
      <c r="L76" s="14">
        <f t="shared" si="19"/>
        <v>290164.8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13"/>
        <v>862804.82499999984</v>
      </c>
      <c r="R76" s="14">
        <f t="shared" si="20"/>
        <v>1152969.6249999998</v>
      </c>
      <c r="S76" s="14">
        <f t="shared" si="21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8"/>
        <v>188334.3000000001</v>
      </c>
      <c r="E77" s="14">
        <v>6525.5</v>
      </c>
      <c r="F77" s="14">
        <v>108413.2</v>
      </c>
      <c r="G77" s="14">
        <v>18230.200000000004</v>
      </c>
      <c r="H77" s="52">
        <v>107284.3</v>
      </c>
      <c r="I77" s="52">
        <v>289906.3</v>
      </c>
      <c r="J77" s="53">
        <v>-215654.7</v>
      </c>
      <c r="K77" s="14">
        <v>-21130.1</v>
      </c>
      <c r="L77" s="14">
        <f t="shared" si="19"/>
        <v>293574.7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13"/>
        <v>858072.9833333334</v>
      </c>
      <c r="R77" s="14">
        <f t="shared" si="20"/>
        <v>1151647.6833333333</v>
      </c>
      <c r="S77" s="14">
        <f t="shared" si="21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8"/>
        <v>176556.20000000013</v>
      </c>
      <c r="E78" s="14">
        <v>20947.400000000001</v>
      </c>
      <c r="F78" s="14">
        <v>107312.8</v>
      </c>
      <c r="G78" s="14">
        <v>22520.6</v>
      </c>
      <c r="H78" s="52">
        <v>107284.3</v>
      </c>
      <c r="I78" s="52">
        <v>289906.3</v>
      </c>
      <c r="J78" s="53">
        <v>-219168.7</v>
      </c>
      <c r="K78" s="14">
        <v>-24576.5</v>
      </c>
      <c r="L78" s="14">
        <f t="shared" si="19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13"/>
        <v>855897.04166666674</v>
      </c>
      <c r="R78" s="14">
        <f t="shared" si="20"/>
        <v>1160123.2416666667</v>
      </c>
      <c r="S78" s="14">
        <f t="shared" si="21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8"/>
        <v>229327.69999999984</v>
      </c>
      <c r="E79" s="14">
        <v>0</v>
      </c>
      <c r="F79" s="14">
        <v>109019.90000000001</v>
      </c>
      <c r="G79" s="14">
        <v>19116.100000000002</v>
      </c>
      <c r="H79" s="52">
        <v>107284.3</v>
      </c>
      <c r="I79" s="52">
        <v>289290</v>
      </c>
      <c r="J79" s="53">
        <v>-227281.60000000003</v>
      </c>
      <c r="K79" s="14">
        <v>-23790.1</v>
      </c>
      <c r="L79" s="14">
        <f t="shared" si="19"/>
        <v>273638.60000000003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13"/>
        <v>850544.80000000016</v>
      </c>
      <c r="R79" s="14">
        <f t="shared" si="20"/>
        <v>1124183.4000000001</v>
      </c>
      <c r="S79" s="14">
        <f t="shared" si="21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8"/>
        <v>214481.61666666676</v>
      </c>
      <c r="E80" s="14">
        <v>0</v>
      </c>
      <c r="F80" s="14">
        <v>108779.50000000001</v>
      </c>
      <c r="G80" s="14">
        <v>15775.900000000001</v>
      </c>
      <c r="H80" s="52">
        <v>107284.3</v>
      </c>
      <c r="I80" s="52">
        <v>289290</v>
      </c>
      <c r="J80" s="53">
        <v>-234545.17500000002</v>
      </c>
      <c r="K80" s="14">
        <v>-23611.000000000004</v>
      </c>
      <c r="L80" s="14">
        <f t="shared" ref="L80:L91" si="22">SUM( (E80:K80))</f>
        <v>262973.52500000002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13"/>
        <v>859373.2583333333</v>
      </c>
      <c r="R80" s="14">
        <f t="shared" ref="R80:R91" si="23">SUM(L80,Q80)</f>
        <v>1122346.7833333332</v>
      </c>
      <c r="S80" s="14">
        <f t="shared" ref="S80:S91" si="24">SUM(D80,R80)</f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8"/>
        <v>229452.43333333335</v>
      </c>
      <c r="E81" s="14">
        <v>0</v>
      </c>
      <c r="F81" s="14">
        <v>112164</v>
      </c>
      <c r="G81" s="14">
        <v>17101.7</v>
      </c>
      <c r="H81" s="52">
        <v>107284.3</v>
      </c>
      <c r="I81" s="52">
        <v>288673.7</v>
      </c>
      <c r="J81" s="53">
        <v>-242656.15</v>
      </c>
      <c r="K81" s="14">
        <v>-21791.600000000002</v>
      </c>
      <c r="L81" s="14">
        <f t="shared" si="22"/>
        <v>260775.94999999992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13"/>
        <v>863648.91666666663</v>
      </c>
      <c r="R81" s="14">
        <f t="shared" si="23"/>
        <v>1124424.8666666665</v>
      </c>
      <c r="S81" s="14">
        <f t="shared" si="24"/>
        <v>1353877.2999999998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8"/>
        <v>210519.75000000006</v>
      </c>
      <c r="E82" s="14">
        <v>8513</v>
      </c>
      <c r="F82" s="14">
        <v>108771.9</v>
      </c>
      <c r="G82" s="14">
        <v>13842.4</v>
      </c>
      <c r="H82" s="52">
        <v>107284.3</v>
      </c>
      <c r="I82" s="52">
        <v>288673.7</v>
      </c>
      <c r="J82" s="53">
        <v>-226523.22500000001</v>
      </c>
      <c r="K82" s="14">
        <v>-17505.000000000004</v>
      </c>
      <c r="L82" s="14">
        <f t="shared" si="22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13"/>
        <v>850785.07499999995</v>
      </c>
      <c r="R82" s="14">
        <f t="shared" si="23"/>
        <v>1133842.1499999999</v>
      </c>
      <c r="S82" s="14">
        <f t="shared" si="24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8"/>
        <v>213913.66666666657</v>
      </c>
      <c r="E83" s="14">
        <v>14256.4</v>
      </c>
      <c r="F83" s="14">
        <v>137931.09999999998</v>
      </c>
      <c r="G83" s="14">
        <v>18608.199999999997</v>
      </c>
      <c r="H83" s="52">
        <v>107284.3</v>
      </c>
      <c r="I83" s="52">
        <v>288365.59999999998</v>
      </c>
      <c r="J83" s="53">
        <v>-217271.7</v>
      </c>
      <c r="K83" s="14">
        <v>-16806.800000000003</v>
      </c>
      <c r="L83" s="14">
        <f t="shared" si="22"/>
        <v>332367.09999999986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13"/>
        <v>855101.73333333328</v>
      </c>
      <c r="R83" s="14">
        <f t="shared" si="23"/>
        <v>1187468.833333333</v>
      </c>
      <c r="S83" s="14">
        <f t="shared" si="24"/>
        <v>1401382.4999999995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8"/>
        <v>183357.28333333338</v>
      </c>
      <c r="E84" s="14">
        <v>16076.5</v>
      </c>
      <c r="F84" s="14">
        <v>131083.79999999999</v>
      </c>
      <c r="G84" s="14">
        <v>15925.9</v>
      </c>
      <c r="H84" s="52">
        <v>107284.3</v>
      </c>
      <c r="I84" s="52">
        <v>287749.3</v>
      </c>
      <c r="J84" s="53">
        <v>-200717.87500000003</v>
      </c>
      <c r="K84" s="14">
        <v>-12657.699999999999</v>
      </c>
      <c r="L84" s="14">
        <f t="shared" si="22"/>
        <v>344744.22500000003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13"/>
        <v>862817.69166666677</v>
      </c>
      <c r="R84" s="14">
        <f t="shared" si="23"/>
        <v>1207561.9166666667</v>
      </c>
      <c r="S84" s="14">
        <f t="shared" si="24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8"/>
        <v>184344.50000000017</v>
      </c>
      <c r="E85" s="14">
        <v>39309.599999999999</v>
      </c>
      <c r="F85" s="14">
        <v>134209.09999999998</v>
      </c>
      <c r="G85" s="14">
        <v>19679.199999999997</v>
      </c>
      <c r="H85" s="52">
        <v>107284.3</v>
      </c>
      <c r="I85" s="52">
        <v>287441.19999999995</v>
      </c>
      <c r="J85" s="53">
        <v>-210802.15000000002</v>
      </c>
      <c r="K85" s="14">
        <v>-17287.8</v>
      </c>
      <c r="L85" s="14">
        <f t="shared" si="22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13"/>
        <v>884416.15</v>
      </c>
      <c r="R85" s="14">
        <f t="shared" si="23"/>
        <v>1244249.5999999999</v>
      </c>
      <c r="S85" s="14">
        <f t="shared" si="24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8"/>
        <v>192175.38333333319</v>
      </c>
      <c r="E86" s="14">
        <v>52779.8</v>
      </c>
      <c r="F86" s="14">
        <v>136756.6</v>
      </c>
      <c r="G86" s="14">
        <v>22824.550000000003</v>
      </c>
      <c r="H86" s="52">
        <v>107284.3</v>
      </c>
      <c r="I86" s="52">
        <v>287441.19999999995</v>
      </c>
      <c r="J86" s="53">
        <v>-203188.65833333333</v>
      </c>
      <c r="K86" s="14">
        <v>-17393.5</v>
      </c>
      <c r="L86" s="14">
        <f t="shared" si="22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13"/>
        <v>898141.29166666674</v>
      </c>
      <c r="R86" s="14">
        <f t="shared" si="23"/>
        <v>1284645.5833333335</v>
      </c>
      <c r="S86" s="14">
        <f t="shared" si="24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8"/>
        <v>150712.76666666655</v>
      </c>
      <c r="E87" s="14">
        <v>43358.6</v>
      </c>
      <c r="F87" s="14">
        <v>157164.6</v>
      </c>
      <c r="G87" s="14">
        <v>23094.000000000004</v>
      </c>
      <c r="H87" s="52">
        <v>107284.3</v>
      </c>
      <c r="I87" s="52">
        <v>286825</v>
      </c>
      <c r="J87" s="53">
        <v>-197262.91111111111</v>
      </c>
      <c r="K87" s="14">
        <v>-19854.8</v>
      </c>
      <c r="L87" s="14">
        <f t="shared" si="22"/>
        <v>400608.7888888889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13"/>
        <v>918237.17777777766</v>
      </c>
      <c r="R87" s="14">
        <f t="shared" si="23"/>
        <v>1318845.9666666666</v>
      </c>
      <c r="S87" s="14">
        <f t="shared" si="24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8"/>
        <v>212521.95</v>
      </c>
      <c r="E88" s="14">
        <v>27300.1</v>
      </c>
      <c r="F88" s="14">
        <v>151516.40000000002</v>
      </c>
      <c r="G88" s="14">
        <v>23222.549999999996</v>
      </c>
      <c r="H88" s="52">
        <v>107284.3</v>
      </c>
      <c r="I88" s="52">
        <v>286825</v>
      </c>
      <c r="J88" s="53">
        <v>-278674.73611111112</v>
      </c>
      <c r="K88" s="14">
        <v>-25072.2</v>
      </c>
      <c r="L88" s="14">
        <f t="shared" si="22"/>
        <v>292401.41388888896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13"/>
        <v>908758.68611111108</v>
      </c>
      <c r="R88" s="14">
        <f t="shared" si="23"/>
        <v>1201160.1000000001</v>
      </c>
      <c r="S88" s="14">
        <f t="shared" si="24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8"/>
        <v>202846.63333333336</v>
      </c>
      <c r="E89" s="14">
        <v>74347</v>
      </c>
      <c r="F89" s="14">
        <v>146788.6</v>
      </c>
      <c r="G89" s="14">
        <v>22773.199999999997</v>
      </c>
      <c r="H89" s="52">
        <v>107284.3</v>
      </c>
      <c r="I89" s="52">
        <v>286516.8</v>
      </c>
      <c r="J89" s="53">
        <v>-246098.37592592594</v>
      </c>
      <c r="K89" s="14">
        <v>-29509.200000000001</v>
      </c>
      <c r="L89" s="14">
        <f t="shared" si="22"/>
        <v>362102.32407407399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13"/>
        <v>914146.34259259258</v>
      </c>
      <c r="R89" s="14">
        <f t="shared" si="23"/>
        <v>1276248.6666666665</v>
      </c>
      <c r="S89" s="14">
        <f t="shared" si="24"/>
        <v>1479095.2999999998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8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22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13"/>
        <v>923306.06450617278</v>
      </c>
      <c r="R90" s="14">
        <f t="shared" si="23"/>
        <v>1252287.1555555554</v>
      </c>
      <c r="S90" s="14">
        <f t="shared" si="24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8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22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13"/>
        <v>938162.1</v>
      </c>
      <c r="R91" s="14">
        <f t="shared" si="23"/>
        <v>1320491.4000000001</v>
      </c>
      <c r="S91" s="14">
        <f t="shared" si="24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>SUM(B92:C92)</f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ref="L92:L103" si="25">SUM( (E92:K92))</f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13"/>
        <v>933448.19999999984</v>
      </c>
      <c r="R92" s="14">
        <f t="shared" ref="R92:R103" si="26">SUM(L92,Q92)</f>
        <v>1295599.5499999998</v>
      </c>
      <c r="S92" s="14">
        <f t="shared" ref="S92:S103" si="27">SUM(D92,R92)</f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>SUM(B93:C93)</f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25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13"/>
        <v>922829.2</v>
      </c>
      <c r="R93" s="14">
        <f t="shared" si="26"/>
        <v>1317464.3999999999</v>
      </c>
      <c r="S93" s="14">
        <f t="shared" si="27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ref="D94:D103" si="28">SUM(B94:C94)</f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25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13"/>
        <v>925639.8</v>
      </c>
      <c r="R94" s="14">
        <f t="shared" si="26"/>
        <v>1269286.1500000001</v>
      </c>
      <c r="S94" s="14">
        <f t="shared" si="27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28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25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13"/>
        <v>944191.30000000016</v>
      </c>
      <c r="R95" s="14">
        <f t="shared" si="26"/>
        <v>1322564.5</v>
      </c>
      <c r="S95" s="14">
        <f t="shared" si="27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si="28"/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25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13"/>
        <v>950607.29999999993</v>
      </c>
      <c r="R96" s="14">
        <f t="shared" si="26"/>
        <v>1371839.0499999998</v>
      </c>
      <c r="S96" s="14">
        <f t="shared" si="27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28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25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13"/>
        <v>949388.49999999977</v>
      </c>
      <c r="R97" s="14">
        <f t="shared" si="26"/>
        <v>1412956.4999999998</v>
      </c>
      <c r="S97" s="14">
        <f t="shared" si="27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28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25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13"/>
        <v>962096.18333333312</v>
      </c>
      <c r="R98" s="14">
        <f t="shared" si="26"/>
        <v>1454947.4166666665</v>
      </c>
      <c r="S98" s="14">
        <f t="shared" si="27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28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25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13"/>
        <v>963937.5</v>
      </c>
      <c r="R99" s="14">
        <f t="shared" si="26"/>
        <v>1497020.7666666666</v>
      </c>
      <c r="S99" s="14">
        <f t="shared" si="27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28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25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13"/>
        <v>965238.48333333316</v>
      </c>
      <c r="R100" s="14">
        <f t="shared" si="26"/>
        <v>1531163.7333333332</v>
      </c>
      <c r="S100" s="14">
        <f t="shared" si="27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28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25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13"/>
        <v>959352.74444444443</v>
      </c>
      <c r="R101" s="14">
        <f t="shared" si="26"/>
        <v>1586318.4111111111</v>
      </c>
      <c r="S101" s="14">
        <f t="shared" si="27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v>-84734.5</v>
      </c>
      <c r="E102" s="14">
        <v>236897.9</v>
      </c>
      <c r="F102" s="14">
        <v>222734.2</v>
      </c>
      <c r="G102" s="14">
        <v>56434.744135802488</v>
      </c>
      <c r="H102" s="52">
        <v>94267.4</v>
      </c>
      <c r="I102" s="52">
        <v>278553.90000000002</v>
      </c>
      <c r="J102" s="53">
        <v>-198623.87191358025</v>
      </c>
      <c r="K102" s="14">
        <v>-34078.9</v>
      </c>
      <c r="L102" s="14">
        <f t="shared" si="25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13"/>
        <v>921716.45740740735</v>
      </c>
      <c r="R102" s="14">
        <f t="shared" si="26"/>
        <v>1577901.8296296296</v>
      </c>
      <c r="S102" s="14">
        <f t="shared" si="27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si="28"/>
        <v>-76201.300000000047</v>
      </c>
      <c r="E103" s="14">
        <v>273246</v>
      </c>
      <c r="F103" s="14">
        <v>254809.2</v>
      </c>
      <c r="G103" s="14">
        <v>50077.5</v>
      </c>
      <c r="H103" s="52">
        <v>90564.7</v>
      </c>
      <c r="I103" s="52">
        <v>277913.90000000002</v>
      </c>
      <c r="J103" s="53">
        <v>-234475</v>
      </c>
      <c r="K103" s="14">
        <v>-26275.999999999996</v>
      </c>
      <c r="L103" s="14">
        <f t="shared" si="25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13"/>
        <v>901609.6</v>
      </c>
      <c r="R103" s="14">
        <f t="shared" si="26"/>
        <v>1587469.9</v>
      </c>
      <c r="S103" s="14">
        <f t="shared" si="27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>SUM(B104:C104)</f>
        <v>-119565.20000000001</v>
      </c>
      <c r="E104" s="14">
        <v>230233.5</v>
      </c>
      <c r="F104" s="14">
        <v>266534</v>
      </c>
      <c r="G104" s="14">
        <v>49728.716666666667</v>
      </c>
      <c r="H104" s="52">
        <v>90564.7</v>
      </c>
      <c r="I104" s="52">
        <v>277913.90000000002</v>
      </c>
      <c r="J104" s="53">
        <v>-195314.72500000003</v>
      </c>
      <c r="K104" s="14">
        <v>-27271.8</v>
      </c>
      <c r="L104" s="14">
        <f t="shared" ref="L104:L115" si="29">SUM( (E104:K104))</f>
        <v>692388.29166666651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ref="Q104:Q138" si="30">SUM(M104:P104)</f>
        <v>915135.20833333326</v>
      </c>
      <c r="R104" s="14">
        <f t="shared" ref="R104:R115" si="31">SUM(L104,Q104)</f>
        <v>1607523.4999999998</v>
      </c>
      <c r="S104" s="14">
        <f t="shared" ref="S104:S115" si="32">SUM(D104,R104)</f>
        <v>1487958.2999999998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>SUM(B105:C105)</f>
        <v>-133119.90000000008</v>
      </c>
      <c r="E105" s="14">
        <v>260394.9</v>
      </c>
      <c r="F105" s="14">
        <v>282730.90000000002</v>
      </c>
      <c r="G105" s="14">
        <v>53007.133333333331</v>
      </c>
      <c r="H105" s="52">
        <v>89171.4</v>
      </c>
      <c r="I105" s="52">
        <v>277274.09999999998</v>
      </c>
      <c r="J105" s="53">
        <v>-201691.74999999997</v>
      </c>
      <c r="K105" s="14">
        <v>-27229.1</v>
      </c>
      <c r="L105" s="14">
        <f t="shared" si="29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30"/>
        <v>918317.81666666677</v>
      </c>
      <c r="R105" s="14">
        <f t="shared" si="31"/>
        <v>1651975.4000000001</v>
      </c>
      <c r="S105" s="14">
        <f t="shared" si="32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ref="D106:D113" si="33">SUM(B106:C106)</f>
        <v>-161355.00000000012</v>
      </c>
      <c r="E106" s="14">
        <v>273246</v>
      </c>
      <c r="F106" s="14">
        <v>296894.8</v>
      </c>
      <c r="G106" s="14">
        <v>49414.350000000006</v>
      </c>
      <c r="H106" s="52">
        <v>86384.8</v>
      </c>
      <c r="I106" s="52">
        <v>275994.3</v>
      </c>
      <c r="J106" s="53">
        <v>-233113.17500000002</v>
      </c>
      <c r="K106" s="14">
        <v>-25784.100000000002</v>
      </c>
      <c r="L106" s="14">
        <f t="shared" si="29"/>
        <v>723036.97499999998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30"/>
        <v>921252.42500000005</v>
      </c>
      <c r="R106" s="14">
        <f t="shared" si="31"/>
        <v>1644289.4</v>
      </c>
      <c r="S106" s="14">
        <f t="shared" si="32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33"/>
        <v>-169623.99999999994</v>
      </c>
      <c r="E107" s="14">
        <v>4780.0999999999767</v>
      </c>
      <c r="F107" s="14">
        <v>319584.7</v>
      </c>
      <c r="G107" s="14">
        <v>54971.566666666673</v>
      </c>
      <c r="H107" s="52">
        <v>86384.8</v>
      </c>
      <c r="I107" s="52">
        <v>549240.30000000005</v>
      </c>
      <c r="J107" s="53">
        <v>-215292.2</v>
      </c>
      <c r="K107" s="14">
        <v>-31710.300000000003</v>
      </c>
      <c r="L107" s="14">
        <f t="shared" si="29"/>
        <v>767958.96666666656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si="30"/>
        <v>920755.73333333328</v>
      </c>
      <c r="R107" s="14">
        <f t="shared" si="31"/>
        <v>1688714.6999999997</v>
      </c>
      <c r="S107" s="14">
        <f t="shared" si="32"/>
        <v>1519090.6999999997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33"/>
        <v>-195620.09999999992</v>
      </c>
      <c r="E108" s="14">
        <v>21652.299999999988</v>
      </c>
      <c r="F108" s="14">
        <v>322381.7</v>
      </c>
      <c r="G108" s="14">
        <v>54366.28333333334</v>
      </c>
      <c r="H108" s="52">
        <v>84991.5</v>
      </c>
      <c r="I108" s="52">
        <v>548600.5</v>
      </c>
      <c r="J108" s="53">
        <v>-217720.625</v>
      </c>
      <c r="K108" s="14">
        <v>-33788.199999999997</v>
      </c>
      <c r="L108" s="14">
        <f t="shared" si="29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si="30"/>
        <v>938117.04166666651</v>
      </c>
      <c r="R108" s="14">
        <f t="shared" si="31"/>
        <v>1718600.5</v>
      </c>
      <c r="S108" s="14">
        <f t="shared" si="32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33"/>
        <v>-166217.90000000002</v>
      </c>
      <c r="E109" s="14">
        <v>19504.700000000012</v>
      </c>
      <c r="F109" s="14">
        <v>348742.9</v>
      </c>
      <c r="G109" s="14">
        <v>53100.100000000006</v>
      </c>
      <c r="H109" s="52">
        <v>83598.2</v>
      </c>
      <c r="I109" s="52">
        <v>547320.69999999995</v>
      </c>
      <c r="J109" s="53">
        <v>-224057.05000000005</v>
      </c>
      <c r="K109" s="14">
        <v>-41471.800000000003</v>
      </c>
      <c r="L109" s="14">
        <f t="shared" si="29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30"/>
        <v>957313.64999999991</v>
      </c>
      <c r="R109" s="14">
        <f t="shared" si="31"/>
        <v>1744051.4</v>
      </c>
      <c r="S109" s="14">
        <f t="shared" si="32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33"/>
        <v>-188863.60000000009</v>
      </c>
      <c r="E110" s="14">
        <v>17403.200000000012</v>
      </c>
      <c r="F110" s="14">
        <v>365969.8</v>
      </c>
      <c r="G110" s="14">
        <v>54201</v>
      </c>
      <c r="H110" s="52">
        <v>82204.899999999994</v>
      </c>
      <c r="I110" s="52">
        <v>546680.9</v>
      </c>
      <c r="J110" s="53">
        <v>-220645.85833333334</v>
      </c>
      <c r="K110" s="14">
        <v>-39586.400000000009</v>
      </c>
      <c r="L110" s="14">
        <f t="shared" si="29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30"/>
        <v>956292.65833333333</v>
      </c>
      <c r="R110" s="14">
        <f t="shared" si="31"/>
        <v>1762520.2</v>
      </c>
      <c r="S110" s="14">
        <f t="shared" si="32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33"/>
        <v>-202554.50000000006</v>
      </c>
      <c r="E111" s="14">
        <v>10113</v>
      </c>
      <c r="F111" s="14">
        <v>370225.1</v>
      </c>
      <c r="G111" s="14">
        <v>47819.8</v>
      </c>
      <c r="H111" s="52">
        <v>80811.600000000006</v>
      </c>
      <c r="I111" s="52">
        <v>546041</v>
      </c>
      <c r="J111" s="53">
        <v>-213420.3666666667</v>
      </c>
      <c r="K111" s="14">
        <v>-29870.1</v>
      </c>
      <c r="L111" s="14">
        <f t="shared" si="29"/>
        <v>811720.03333333333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30"/>
        <v>981295.46666666691</v>
      </c>
      <c r="R111" s="14">
        <f t="shared" si="31"/>
        <v>1793015.5000000002</v>
      </c>
      <c r="S111" s="14">
        <f t="shared" si="32"/>
        <v>1590461.0000000002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33"/>
        <v>-192776.99999999994</v>
      </c>
      <c r="E112" s="14">
        <v>18972.7</v>
      </c>
      <c r="F112" s="14">
        <v>390238.4</v>
      </c>
      <c r="G112" s="14">
        <v>46886.099999999991</v>
      </c>
      <c r="H112" s="52">
        <v>79418.3</v>
      </c>
      <c r="I112" s="52">
        <v>546041</v>
      </c>
      <c r="J112" s="53">
        <v>-221846.875</v>
      </c>
      <c r="K112" s="14">
        <v>-34600.5</v>
      </c>
      <c r="L112" s="14">
        <f t="shared" si="29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30"/>
        <v>978332.875</v>
      </c>
      <c r="R112" s="14">
        <f t="shared" si="31"/>
        <v>1803442</v>
      </c>
      <c r="S112" s="14">
        <f t="shared" si="32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33"/>
        <v>-196678.40000000002</v>
      </c>
      <c r="E113" s="14">
        <v>37280.9</v>
      </c>
      <c r="F113" s="14">
        <v>391147.4</v>
      </c>
      <c r="G113" s="14">
        <v>51321.266666666663</v>
      </c>
      <c r="H113" s="52">
        <v>78024.899999999994</v>
      </c>
      <c r="I113" s="52">
        <v>545401.19999999995</v>
      </c>
      <c r="J113" s="53">
        <v>-225652.21666666667</v>
      </c>
      <c r="K113" s="14">
        <v>-29570.199999999997</v>
      </c>
      <c r="L113" s="14">
        <f t="shared" si="29"/>
        <v>847953.24999999988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30"/>
        <v>976493.68333333335</v>
      </c>
      <c r="R113" s="14">
        <f t="shared" si="31"/>
        <v>1824446.9333333331</v>
      </c>
      <c r="S113" s="14">
        <f t="shared" si="32"/>
        <v>1627768.5333333332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>SUM(B114:C114)</f>
        <v>-181348.7</v>
      </c>
      <c r="E114" s="14">
        <v>69788.2</v>
      </c>
      <c r="F114" s="14">
        <v>404323.99999999988</v>
      </c>
      <c r="G114" s="14">
        <v>53158.033333333326</v>
      </c>
      <c r="H114" s="52">
        <v>75238.3</v>
      </c>
      <c r="I114" s="52">
        <v>544121.5</v>
      </c>
      <c r="J114" s="53">
        <v>-234794.84722222225</v>
      </c>
      <c r="K114" s="14">
        <v>-29497.7</v>
      </c>
      <c r="L114" s="14">
        <f t="shared" si="29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30"/>
        <v>969275.80277777778</v>
      </c>
      <c r="R114" s="14">
        <f t="shared" si="31"/>
        <v>1851613.2888888889</v>
      </c>
      <c r="S114" s="14">
        <f t="shared" si="32"/>
        <v>1670264.5888888889</v>
      </c>
    </row>
    <row r="115" spans="1:19" s="51" customFormat="1">
      <c r="A115" s="15">
        <v>42705</v>
      </c>
      <c r="B115" s="14">
        <v>294830.59999999998</v>
      </c>
      <c r="C115" s="14">
        <v>-476641.10000000003</v>
      </c>
      <c r="D115" s="14">
        <f>SUM(B115:C115)</f>
        <v>-181810.50000000006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29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30"/>
        <v>987480.9</v>
      </c>
      <c r="R115" s="14">
        <f t="shared" si="31"/>
        <v>1891284.1</v>
      </c>
      <c r="S115" s="14">
        <f t="shared" si="32"/>
        <v>1709473.6</v>
      </c>
    </row>
    <row r="116" spans="1:19" s="51" customFormat="1">
      <c r="A116" s="15">
        <v>42766</v>
      </c>
      <c r="B116" s="14">
        <v>313683.59999999998</v>
      </c>
      <c r="C116" s="14">
        <v>-485829</v>
      </c>
      <c r="D116" s="14">
        <f>SUM(B116:C116)</f>
        <v>-172145.40000000002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ref="L116:L135" si="34">SUM( (E116:K116))</f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30"/>
        <v>984566.96666666679</v>
      </c>
      <c r="R116" s="14">
        <f t="shared" ref="R116:R136" si="35">SUM(L116,Q116)</f>
        <v>1898792.1666666667</v>
      </c>
      <c r="S116" s="14">
        <f t="shared" ref="S116:S136" si="36">SUM(D116,R116)</f>
        <v>1726646.7666666666</v>
      </c>
    </row>
    <row r="117" spans="1:19" s="51" customFormat="1">
      <c r="A117" s="15">
        <v>42794</v>
      </c>
      <c r="B117" s="14">
        <v>339884.6</v>
      </c>
      <c r="C117" s="14">
        <v>-491614.1</v>
      </c>
      <c r="D117" s="14">
        <f t="shared" ref="D117:D123" si="37">SUM(B117:C117)</f>
        <v>-151729.5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34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30"/>
        <v>945406.23333333363</v>
      </c>
      <c r="R117" s="14">
        <f t="shared" si="35"/>
        <v>1872970.5333333337</v>
      </c>
      <c r="S117" s="14">
        <f t="shared" si="36"/>
        <v>1721241.0333333337</v>
      </c>
    </row>
    <row r="118" spans="1:19" s="51" customFormat="1">
      <c r="A118" s="15">
        <v>42825</v>
      </c>
      <c r="B118" s="14">
        <v>316265.5</v>
      </c>
      <c r="C118" s="14">
        <v>-486183.10000000003</v>
      </c>
      <c r="D118" s="14">
        <f t="shared" si="37"/>
        <v>-169917.60000000003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34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30"/>
        <v>939571.9</v>
      </c>
      <c r="R118" s="14">
        <f t="shared" si="35"/>
        <v>1922712.7999999998</v>
      </c>
      <c r="S118" s="14">
        <f t="shared" si="36"/>
        <v>1752795.1999999997</v>
      </c>
    </row>
    <row r="119" spans="1:19" s="51" customFormat="1">
      <c r="A119" s="15">
        <v>42855</v>
      </c>
      <c r="B119" s="14">
        <v>322535</v>
      </c>
      <c r="C119" s="14">
        <v>-490909.90000000008</v>
      </c>
      <c r="D119" s="14">
        <f t="shared" si="37"/>
        <v>-168374.90000000008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34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30"/>
        <v>936816.73333333351</v>
      </c>
      <c r="R119" s="14">
        <f t="shared" si="35"/>
        <v>1933695.5000000002</v>
      </c>
      <c r="S119" s="14">
        <f t="shared" si="36"/>
        <v>1765320.6</v>
      </c>
    </row>
    <row r="120" spans="1:19" s="51" customFormat="1">
      <c r="A120" s="15">
        <v>42886</v>
      </c>
      <c r="B120" s="14">
        <v>388462.19999999995</v>
      </c>
      <c r="C120" s="14">
        <v>-508543.2</v>
      </c>
      <c r="D120" s="14">
        <f t="shared" si="37"/>
        <v>-120081.00000000006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34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30"/>
        <v>954291.76666666672</v>
      </c>
      <c r="R120" s="14">
        <f t="shared" si="35"/>
        <v>1930108.6000000003</v>
      </c>
      <c r="S120" s="14">
        <f t="shared" si="36"/>
        <v>1810027.6000000003</v>
      </c>
    </row>
    <row r="121" spans="1:19" s="51" customFormat="1">
      <c r="A121" s="15">
        <v>42916</v>
      </c>
      <c r="B121" s="14">
        <v>357696.40000000008</v>
      </c>
      <c r="C121" s="14">
        <v>-518289.2</v>
      </c>
      <c r="D121" s="14">
        <f t="shared" si="37"/>
        <v>-160592.79999999993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34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30"/>
        <v>1002539.9</v>
      </c>
      <c r="R121" s="14">
        <f t="shared" si="35"/>
        <v>2022047.2000000002</v>
      </c>
      <c r="S121" s="14">
        <f t="shared" si="36"/>
        <v>1861454.4000000004</v>
      </c>
    </row>
    <row r="122" spans="1:19" s="51" customFormat="1">
      <c r="A122" s="15">
        <v>42947</v>
      </c>
      <c r="B122" s="14">
        <v>355864.60000000003</v>
      </c>
      <c r="C122" s="14">
        <v>-518375.2</v>
      </c>
      <c r="D122" s="14">
        <f t="shared" si="37"/>
        <v>-162510.59999999998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34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30"/>
        <v>1024436.9333333333</v>
      </c>
      <c r="R122" s="14">
        <f t="shared" si="35"/>
        <v>2029057.2166666668</v>
      </c>
      <c r="S122" s="14">
        <f t="shared" si="36"/>
        <v>1866546.6166666667</v>
      </c>
    </row>
    <row r="123" spans="1:19" s="51" customFormat="1">
      <c r="A123" s="15">
        <v>42978</v>
      </c>
      <c r="B123" s="14">
        <v>343091.99999999994</v>
      </c>
      <c r="C123" s="14">
        <v>-528499.19999999995</v>
      </c>
      <c r="D123" s="14">
        <f t="shared" si="37"/>
        <v>-185407.2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34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30"/>
        <v>1041639.5666666668</v>
      </c>
      <c r="R123" s="14">
        <f t="shared" si="35"/>
        <v>2081128.9333333333</v>
      </c>
      <c r="S123" s="14">
        <f t="shared" si="36"/>
        <v>1895721.7333333334</v>
      </c>
    </row>
    <row r="124" spans="1:19" s="51" customFormat="1">
      <c r="A124" s="15">
        <v>43008</v>
      </c>
      <c r="B124" s="14">
        <v>343989.99999999994</v>
      </c>
      <c r="C124" s="14">
        <v>-528233.5</v>
      </c>
      <c r="D124" s="14">
        <f>SUM(B124:C124)</f>
        <v>-184243.50000000006</v>
      </c>
      <c r="E124" s="14">
        <v>112382.3</v>
      </c>
      <c r="F124" s="14">
        <v>563258.5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34"/>
        <v>1045044.75</v>
      </c>
      <c r="M124" s="14">
        <v>29740.9</v>
      </c>
      <c r="N124" s="14">
        <v>1023789.6999999998</v>
      </c>
      <c r="O124" s="54">
        <v>56.1</v>
      </c>
      <c r="P124" s="54">
        <v>5451.8000000000011</v>
      </c>
      <c r="Q124" s="14">
        <f t="shared" si="30"/>
        <v>1059038.5</v>
      </c>
      <c r="R124" s="14">
        <f t="shared" si="35"/>
        <v>2104083.25</v>
      </c>
      <c r="S124" s="14">
        <f t="shared" si="36"/>
        <v>1919839.75</v>
      </c>
    </row>
    <row r="125" spans="1:19" s="51" customFormat="1">
      <c r="A125" s="15">
        <v>43039</v>
      </c>
      <c r="B125" s="14">
        <v>393762.6</v>
      </c>
      <c r="C125" s="14">
        <v>-516089.90000000008</v>
      </c>
      <c r="D125" s="14">
        <f>SUM(B125:C125)</f>
        <v>-122327.3000000001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34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30"/>
        <v>1068280.0999999996</v>
      </c>
      <c r="R125" s="14">
        <f t="shared" si="35"/>
        <v>2073501.3666666662</v>
      </c>
      <c r="S125" s="14">
        <f t="shared" si="36"/>
        <v>1951174.0666666662</v>
      </c>
    </row>
    <row r="126" spans="1:19" s="51" customFormat="1">
      <c r="A126" s="15">
        <v>43069</v>
      </c>
      <c r="B126" s="14">
        <v>355081.39999999991</v>
      </c>
      <c r="C126" s="14">
        <v>-507488.6</v>
      </c>
      <c r="D126" s="14">
        <f>SUM(B126:C126)</f>
        <v>-152407.20000000007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34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30"/>
        <v>1078072.1000000001</v>
      </c>
      <c r="R126" s="14">
        <f t="shared" si="35"/>
        <v>2127078.7833333337</v>
      </c>
      <c r="S126" s="14">
        <f t="shared" si="36"/>
        <v>1974671.5833333335</v>
      </c>
    </row>
    <row r="127" spans="1:19" s="51" customFormat="1">
      <c r="A127" s="15">
        <v>43100</v>
      </c>
      <c r="B127" s="14">
        <v>344923.90000000008</v>
      </c>
      <c r="C127" s="14">
        <v>-504972.79999999999</v>
      </c>
      <c r="D127" s="14">
        <f>SUM(B127:C127)</f>
        <v>-160048.89999999991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-305499.30000000005</v>
      </c>
      <c r="K127" s="14">
        <v>-49349</v>
      </c>
      <c r="L127" s="14">
        <f t="shared" si="34"/>
        <v>1123081.5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30"/>
        <v>1026681.2000000001</v>
      </c>
      <c r="R127" s="14">
        <f t="shared" si="35"/>
        <v>2149762.7000000002</v>
      </c>
      <c r="S127" s="14">
        <f t="shared" si="36"/>
        <v>1989713.8000000003</v>
      </c>
    </row>
    <row r="128" spans="1:19" s="51" customFormat="1">
      <c r="A128" s="15">
        <v>43131</v>
      </c>
      <c r="B128" s="14">
        <v>321466.80000000005</v>
      </c>
      <c r="C128" s="14">
        <v>-504611.89999999997</v>
      </c>
      <c r="D128" s="14">
        <f t="shared" ref="D128:D135" si="38">SUM(B128:C128)</f>
        <v>-183145.09999999992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-278621.41666666669</v>
      </c>
      <c r="K128" s="14">
        <v>-53988.5</v>
      </c>
      <c r="L128" s="14">
        <f>SUM( (E128:K128))</f>
        <v>1121249.3333333333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30"/>
        <v>1027022.0666666665</v>
      </c>
      <c r="R128" s="14">
        <f t="shared" si="35"/>
        <v>2148271.4</v>
      </c>
      <c r="S128" s="14">
        <f t="shared" si="36"/>
        <v>1965126.3</v>
      </c>
    </row>
    <row r="129" spans="1:19" s="51" customFormat="1">
      <c r="A129" s="15">
        <v>43159</v>
      </c>
      <c r="B129" s="14">
        <v>371402.8</v>
      </c>
      <c r="C129" s="14">
        <v>-506774.3</v>
      </c>
      <c r="D129" s="14">
        <f t="shared" si="38"/>
        <v>-135371.5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-280149.73333333334</v>
      </c>
      <c r="K129" s="14">
        <v>-54895.000000000007</v>
      </c>
      <c r="L129" s="14">
        <f t="shared" si="34"/>
        <v>1149938.6666666667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30"/>
        <v>1051275.4333333336</v>
      </c>
      <c r="R129" s="14">
        <f t="shared" si="35"/>
        <v>2201214.1000000006</v>
      </c>
      <c r="S129" s="14">
        <f t="shared" si="36"/>
        <v>2065842.6000000006</v>
      </c>
    </row>
    <row r="130" spans="1:19" s="51" customFormat="1">
      <c r="A130" s="15">
        <v>43190</v>
      </c>
      <c r="B130" s="14">
        <v>327781.59999999998</v>
      </c>
      <c r="C130" s="14">
        <v>-499025.2</v>
      </c>
      <c r="D130" s="14">
        <f t="shared" si="38"/>
        <v>-171243.60000000003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34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30"/>
        <v>1048425.5999999999</v>
      </c>
      <c r="R130" s="14">
        <f t="shared" si="35"/>
        <v>2204973.7000000002</v>
      </c>
      <c r="S130" s="14">
        <f t="shared" si="36"/>
        <v>2033730.1</v>
      </c>
    </row>
    <row r="131" spans="1:19" s="51" customFormat="1">
      <c r="A131" s="15">
        <v>43220</v>
      </c>
      <c r="B131" s="14">
        <v>340382</v>
      </c>
      <c r="C131" s="14">
        <v>-499478.1</v>
      </c>
      <c r="D131" s="14">
        <f t="shared" si="38"/>
        <v>-159096.09999999998</v>
      </c>
      <c r="E131" s="14">
        <v>130576.4</v>
      </c>
      <c r="F131" s="14">
        <v>759124.50000000012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34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30"/>
        <v>1054399.3666666667</v>
      </c>
      <c r="R131" s="14">
        <f t="shared" si="35"/>
        <v>2206526.5333333337</v>
      </c>
      <c r="S131" s="14">
        <f t="shared" si="36"/>
        <v>2047430.4333333336</v>
      </c>
    </row>
    <row r="132" spans="1:19" s="51" customFormat="1">
      <c r="A132" s="15">
        <v>43251</v>
      </c>
      <c r="B132" s="14">
        <v>312527.90000000002</v>
      </c>
      <c r="C132" s="14">
        <v>-488434.5</v>
      </c>
      <c r="D132" s="14">
        <f t="shared" si="38"/>
        <v>-175906.59999999998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34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30"/>
        <v>1051445.9333333333</v>
      </c>
      <c r="R132" s="14">
        <f t="shared" si="35"/>
        <v>2227122.3666666672</v>
      </c>
      <c r="S132" s="14">
        <f t="shared" si="36"/>
        <v>2051215.7666666671</v>
      </c>
    </row>
    <row r="133" spans="1:19" s="51" customFormat="1">
      <c r="A133" s="15">
        <v>43281</v>
      </c>
      <c r="B133" s="14">
        <v>326312.10000000003</v>
      </c>
      <c r="C133" s="14">
        <v>-528416.19999999995</v>
      </c>
      <c r="D133" s="14">
        <f t="shared" si="38"/>
        <v>-202104.09999999992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34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30"/>
        <v>1118043.6000000001</v>
      </c>
      <c r="R133" s="14">
        <f t="shared" si="35"/>
        <v>2318484.7999999998</v>
      </c>
      <c r="S133" s="14">
        <f t="shared" si="36"/>
        <v>2116380.6999999997</v>
      </c>
    </row>
    <row r="134" spans="1:19" s="51" customFormat="1">
      <c r="A134" s="15">
        <v>43312</v>
      </c>
      <c r="B134" s="14">
        <v>306179.39999999997</v>
      </c>
      <c r="C134" s="14">
        <v>-506802</v>
      </c>
      <c r="D134" s="14">
        <f t="shared" si="38"/>
        <v>-200622.60000000003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34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30"/>
        <v>1157786.8</v>
      </c>
      <c r="R134" s="14">
        <f t="shared" si="35"/>
        <v>2376447.4000000004</v>
      </c>
      <c r="S134" s="14">
        <f t="shared" si="36"/>
        <v>2175824.8000000003</v>
      </c>
    </row>
    <row r="135" spans="1:19" s="51" customFormat="1">
      <c r="A135" s="15">
        <v>43343</v>
      </c>
      <c r="B135" s="14">
        <v>293676.09999999998</v>
      </c>
      <c r="C135" s="14">
        <v>-503326.80000000005</v>
      </c>
      <c r="D135" s="14">
        <f t="shared" si="38"/>
        <v>-209650.70000000007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34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30"/>
        <v>1169160.3999999997</v>
      </c>
      <c r="R135" s="14">
        <f t="shared" si="35"/>
        <v>2408112.0999999996</v>
      </c>
      <c r="S135" s="14">
        <f>SUM(D135,R135)</f>
        <v>2198461.3999999994</v>
      </c>
    </row>
    <row r="136" spans="1:19" s="51" customFormat="1">
      <c r="A136" s="15">
        <v>43373</v>
      </c>
      <c r="B136" s="14">
        <v>274623.59999999992</v>
      </c>
      <c r="C136" s="14">
        <v>-492711.29999999993</v>
      </c>
      <c r="D136" s="14">
        <f>SUM(B136:C136)</f>
        <v>-218087.7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>SUM( (E136:K136))</f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30"/>
        <v>1188967</v>
      </c>
      <c r="R136" s="14">
        <f t="shared" si="35"/>
        <v>2439708.4000000004</v>
      </c>
      <c r="S136" s="14">
        <f t="shared" si="36"/>
        <v>2221620.7000000002</v>
      </c>
    </row>
    <row r="137" spans="1:19" s="51" customFormat="1">
      <c r="A137" s="15">
        <v>43404</v>
      </c>
      <c r="B137" s="14">
        <v>279665.09999999998</v>
      </c>
      <c r="C137" s="14">
        <v>-491909.00000000006</v>
      </c>
      <c r="D137" s="14">
        <f>SUM(B137:C137)</f>
        <v>-212243.90000000008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>SUM( (E137:K137))</f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30"/>
        <v>1225123.9333333333</v>
      </c>
      <c r="R137" s="14">
        <f>SUM(L137,Q137)</f>
        <v>2511763.4333333336</v>
      </c>
      <c r="S137" s="14">
        <f>SUM(D137,R137)</f>
        <v>2299519.5333333337</v>
      </c>
    </row>
    <row r="138" spans="1:19" s="51" customFormat="1">
      <c r="A138" s="15">
        <v>43434</v>
      </c>
      <c r="B138" s="14">
        <v>299802.90000000002</v>
      </c>
      <c r="C138" s="14">
        <v>-495069.7</v>
      </c>
      <c r="D138" s="14">
        <f>SUM(B138:C138)</f>
        <v>-195266.8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>SUM( (E138:K138))</f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30"/>
        <v>1231078.1666666665</v>
      </c>
      <c r="R138" s="14">
        <f>SUM(L138,Q138)</f>
        <v>2557789.666666666</v>
      </c>
      <c r="S138" s="14">
        <f>SUM(D138,R138)</f>
        <v>2362522.8666666662</v>
      </c>
    </row>
    <row r="139" spans="1:19" s="51" customFormat="1">
      <c r="A139" s="15">
        <v>43465</v>
      </c>
      <c r="B139" s="14">
        <v>296065.40000000002</v>
      </c>
      <c r="C139" s="14">
        <v>-499709.5</v>
      </c>
      <c r="D139" s="14">
        <f>SUM(B139:C139)</f>
        <v>-203644.09999999998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>SUM( (E139:K139))</f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>SUM(M139:P139)</f>
        <v>1197377.6000000003</v>
      </c>
      <c r="R139" s="14">
        <f>SUM(L139,Q139)</f>
        <v>2547686.4000000004</v>
      </c>
      <c r="S139" s="14">
        <f>SUM(D139,R139)</f>
        <v>2344042.3000000003</v>
      </c>
    </row>
    <row r="140" spans="1:19" s="51" customFormat="1">
      <c r="A140" s="15">
        <v>43466</v>
      </c>
      <c r="B140" s="14">
        <v>261522.6</v>
      </c>
      <c r="C140" s="14">
        <v>-500313.2</v>
      </c>
      <c r="D140" s="14">
        <f t="shared" ref="D140:D166" si="39">SUM(B140:C140)</f>
        <v>-238790.6</v>
      </c>
      <c r="E140" s="14">
        <v>174198.6</v>
      </c>
      <c r="F140" s="14">
        <v>1002665.7</v>
      </c>
      <c r="G140" s="14">
        <v>61436.099999999991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ref="L140:L150" si="40">SUM( (E140:K140))</f>
        <v>1361364.3666666669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ref="Q140:Q148" si="41">SUM(M140:P140)</f>
        <v>1187267.3333333333</v>
      </c>
      <c r="R140" s="14">
        <f t="shared" ref="R140:R148" si="42">SUM(L140,Q140)</f>
        <v>2548631.7000000002</v>
      </c>
      <c r="S140" s="14">
        <f>SUM(D140,R140)</f>
        <v>2309841.1</v>
      </c>
    </row>
    <row r="141" spans="1:19" s="51" customFormat="1">
      <c r="A141" s="15">
        <v>43524</v>
      </c>
      <c r="B141" s="14">
        <v>292123.90000000002</v>
      </c>
      <c r="C141" s="14">
        <v>-497452.39999999997</v>
      </c>
      <c r="D141" s="14">
        <f t="shared" si="39"/>
        <v>-205328.49999999994</v>
      </c>
      <c r="E141" s="14">
        <v>195688.4</v>
      </c>
      <c r="F141" s="14">
        <v>1034766.6000000001</v>
      </c>
      <c r="G141" s="14">
        <v>59385.799999999996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40"/>
        <v>1409069.3333333333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41"/>
        <v>1202048.1666666665</v>
      </c>
      <c r="R141" s="14">
        <f t="shared" si="42"/>
        <v>2611117.5</v>
      </c>
      <c r="S141" s="14">
        <f t="shared" ref="S141:S166" si="43">SUM(D141,R141)</f>
        <v>2405789</v>
      </c>
    </row>
    <row r="142" spans="1:19" s="51" customFormat="1">
      <c r="A142" s="15">
        <v>43555</v>
      </c>
      <c r="B142" s="14">
        <v>273574.69999999995</v>
      </c>
      <c r="C142" s="14">
        <v>-507580.80000000005</v>
      </c>
      <c r="D142" s="14">
        <f t="shared" si="39"/>
        <v>-234006.10000000009</v>
      </c>
      <c r="E142" s="14">
        <v>221728.4</v>
      </c>
      <c r="F142" s="14">
        <v>1051834.5</v>
      </c>
      <c r="G142" s="14">
        <v>70811.600000000006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40"/>
        <v>1421730.8999999997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41"/>
        <v>1219143.9000000001</v>
      </c>
      <c r="R142" s="14">
        <f t="shared" si="42"/>
        <v>2640874.7999999998</v>
      </c>
      <c r="S142" s="14">
        <f t="shared" si="43"/>
        <v>2406868.6999999997</v>
      </c>
    </row>
    <row r="143" spans="1:19" s="51" customFormat="1">
      <c r="A143" s="15">
        <v>43585</v>
      </c>
      <c r="B143" s="14">
        <v>266504.5</v>
      </c>
      <c r="C143" s="14">
        <v>-507794.9</v>
      </c>
      <c r="D143" s="14">
        <f t="shared" si="39"/>
        <v>-241290.40000000002</v>
      </c>
      <c r="E143" s="14">
        <v>195994.1</v>
      </c>
      <c r="F143" s="14">
        <v>1090339.1000000003</v>
      </c>
      <c r="G143" s="14">
        <v>71159.600000000006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40"/>
        <v>1457230.8333333337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41"/>
        <v>1218869.3000000003</v>
      </c>
      <c r="R143" s="14">
        <f t="shared" si="42"/>
        <v>2676100.1333333338</v>
      </c>
      <c r="S143" s="14">
        <f t="shared" si="43"/>
        <v>2434809.7333333339</v>
      </c>
    </row>
    <row r="144" spans="1:19" s="51" customFormat="1">
      <c r="A144" s="15">
        <v>43616</v>
      </c>
      <c r="B144" s="14">
        <v>337862.9</v>
      </c>
      <c r="C144" s="14">
        <v>-532446.89999999979</v>
      </c>
      <c r="D144" s="14">
        <f t="shared" si="39"/>
        <v>-194583.99999999977</v>
      </c>
      <c r="E144" s="14">
        <v>191866.3</v>
      </c>
      <c r="F144" s="14">
        <v>1130944.6000000003</v>
      </c>
      <c r="G144" s="14">
        <v>64033.2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40"/>
        <v>1434712.6666666672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41"/>
        <v>1249521.6000000003</v>
      </c>
      <c r="R144" s="14">
        <f t="shared" si="42"/>
        <v>2684234.2666666675</v>
      </c>
      <c r="S144" s="14">
        <f t="shared" si="43"/>
        <v>2489650.2666666675</v>
      </c>
    </row>
    <row r="145" spans="1:19" s="51" customFormat="1">
      <c r="A145" s="15">
        <v>43646</v>
      </c>
      <c r="B145" s="14">
        <v>311117.90000000002</v>
      </c>
      <c r="C145" s="14">
        <v>-514036.9</v>
      </c>
      <c r="D145" s="14">
        <f t="shared" si="39"/>
        <v>-202919</v>
      </c>
      <c r="E145" s="14">
        <v>216009.2</v>
      </c>
      <c r="F145" s="14">
        <v>1164452.5</v>
      </c>
      <c r="G145" s="14">
        <v>61632.200000000004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40"/>
        <v>1491230.9000000001</v>
      </c>
      <c r="M145" s="14">
        <v>24181</v>
      </c>
      <c r="N145" s="14">
        <v>1239614.0000000002</v>
      </c>
      <c r="O145" s="54">
        <v>6546.1</v>
      </c>
      <c r="P145" s="54">
        <v>12234.1</v>
      </c>
      <c r="Q145" s="14">
        <f t="shared" si="41"/>
        <v>1282575.2000000004</v>
      </c>
      <c r="R145" s="14">
        <f t="shared" si="42"/>
        <v>2773806.1000000006</v>
      </c>
      <c r="S145" s="14">
        <f t="shared" si="43"/>
        <v>2570887.1000000006</v>
      </c>
    </row>
    <row r="146" spans="1:19" s="51" customFormat="1" ht="18">
      <c r="A146" s="15" t="s">
        <v>78</v>
      </c>
      <c r="B146" s="14">
        <v>304464.2</v>
      </c>
      <c r="C146" s="14">
        <v>-547179.29999999993</v>
      </c>
      <c r="D146" s="14">
        <f t="shared" si="39"/>
        <v>-242715.09999999992</v>
      </c>
      <c r="E146" s="14">
        <v>158917.5</v>
      </c>
      <c r="F146" s="14">
        <v>1190797.1999999997</v>
      </c>
      <c r="G146" s="14">
        <v>61986.400000000001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40"/>
        <v>1493553.1999999995</v>
      </c>
      <c r="M146" s="14">
        <v>20335.599999999999</v>
      </c>
      <c r="N146" s="14">
        <v>1285356.5333333337</v>
      </c>
      <c r="O146" s="54">
        <v>6695.5999999999995</v>
      </c>
      <c r="P146" s="54">
        <v>12234.1</v>
      </c>
      <c r="Q146" s="14">
        <f t="shared" si="41"/>
        <v>1324621.833333334</v>
      </c>
      <c r="R146" s="14">
        <f t="shared" si="42"/>
        <v>2818175.0333333332</v>
      </c>
      <c r="S146" s="14">
        <f t="shared" si="43"/>
        <v>2575459.9333333331</v>
      </c>
    </row>
    <row r="147" spans="1:19" s="51" customFormat="1" ht="18">
      <c r="A147" s="15" t="s">
        <v>68</v>
      </c>
      <c r="B147" s="14">
        <v>281923.90000000002</v>
      </c>
      <c r="C147" s="14">
        <v>-533149.49999999988</v>
      </c>
      <c r="D147" s="14">
        <f t="shared" si="39"/>
        <v>-251225.59999999986</v>
      </c>
      <c r="E147" s="14">
        <v>0</v>
      </c>
      <c r="F147" s="14">
        <v>1234004.5000000002</v>
      </c>
      <c r="G147" s="14">
        <v>62316.500000000007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40"/>
        <v>1504724.7</v>
      </c>
      <c r="M147" s="14">
        <v>20347.699999999997</v>
      </c>
      <c r="N147" s="14">
        <v>1296358.2666666668</v>
      </c>
      <c r="O147" s="54">
        <v>6755.2</v>
      </c>
      <c r="P147" s="54">
        <v>12234.1</v>
      </c>
      <c r="Q147" s="14">
        <f t="shared" si="41"/>
        <v>1335695.2666666668</v>
      </c>
      <c r="R147" s="14">
        <f t="shared" si="42"/>
        <v>2840419.9666666668</v>
      </c>
      <c r="S147" s="14">
        <f t="shared" si="43"/>
        <v>2589194.3666666672</v>
      </c>
    </row>
    <row r="148" spans="1:19" s="51" customFormat="1" ht="18">
      <c r="A148" s="15" t="s">
        <v>69</v>
      </c>
      <c r="B148" s="14">
        <v>298513</v>
      </c>
      <c r="C148" s="14">
        <v>-533829</v>
      </c>
      <c r="D148" s="14">
        <f t="shared" si="39"/>
        <v>-235316</v>
      </c>
      <c r="E148" s="14">
        <v>0</v>
      </c>
      <c r="F148" s="14">
        <v>1264668.5</v>
      </c>
      <c r="G148" s="14">
        <v>69187.5</v>
      </c>
      <c r="H148" s="52">
        <v>29259.4</v>
      </c>
      <c r="I148" s="52">
        <v>727629.7</v>
      </c>
      <c r="J148" s="53">
        <v>-485335.70000000007</v>
      </c>
      <c r="K148" s="14">
        <v>-82107.899999999994</v>
      </c>
      <c r="L148" s="14">
        <f t="shared" si="40"/>
        <v>1523301.5</v>
      </c>
      <c r="M148" s="14">
        <v>25629.699999999997</v>
      </c>
      <c r="N148" s="14">
        <v>1319726.5</v>
      </c>
      <c r="O148" s="54">
        <v>6686.4</v>
      </c>
      <c r="P148" s="54">
        <v>12381.5</v>
      </c>
      <c r="Q148" s="14">
        <f t="shared" si="41"/>
        <v>1364424.0999999999</v>
      </c>
      <c r="R148" s="14">
        <f t="shared" si="42"/>
        <v>2887725.5999999996</v>
      </c>
      <c r="S148" s="14">
        <f t="shared" si="43"/>
        <v>2652409.5999999996</v>
      </c>
    </row>
    <row r="149" spans="1:19" s="51" customFormat="1" ht="18">
      <c r="A149" s="15" t="s">
        <v>76</v>
      </c>
      <c r="B149" s="14">
        <v>281183.3</v>
      </c>
      <c r="C149" s="14">
        <v>-525169.79999999993</v>
      </c>
      <c r="D149" s="14">
        <f t="shared" si="39"/>
        <v>-243986.49999999994</v>
      </c>
      <c r="E149" s="14">
        <v>0</v>
      </c>
      <c r="F149" s="14">
        <v>1305643.7</v>
      </c>
      <c r="G149" s="14">
        <v>81164.800000000003</v>
      </c>
      <c r="H149" s="52">
        <v>26472.7</v>
      </c>
      <c r="I149" s="52">
        <v>725211.5</v>
      </c>
      <c r="J149" s="53">
        <v>-505454.5</v>
      </c>
      <c r="K149" s="14">
        <v>-93562</v>
      </c>
      <c r="L149" s="14">
        <f t="shared" si="40"/>
        <v>1539476.2000000002</v>
      </c>
      <c r="M149" s="14">
        <v>25216.199999999997</v>
      </c>
      <c r="N149" s="14">
        <v>1342802.1666666665</v>
      </c>
      <c r="O149" s="54">
        <v>547.9</v>
      </c>
      <c r="P149" s="54">
        <v>12381.5</v>
      </c>
      <c r="Q149" s="14">
        <f>SUM(M149:P149)</f>
        <v>1380947.7666666664</v>
      </c>
      <c r="R149" s="14">
        <f>SUM(L149,Q149)</f>
        <v>2920423.9666666668</v>
      </c>
      <c r="S149" s="14">
        <f t="shared" si="43"/>
        <v>2676437.4666666668</v>
      </c>
    </row>
    <row r="150" spans="1:19" s="51" customFormat="1" ht="18">
      <c r="A150" s="15" t="s">
        <v>70</v>
      </c>
      <c r="B150" s="14">
        <v>261502.5</v>
      </c>
      <c r="C150" s="14">
        <v>-523421.4</v>
      </c>
      <c r="D150" s="14">
        <f t="shared" si="39"/>
        <v>-261918.90000000002</v>
      </c>
      <c r="E150" s="14">
        <v>0</v>
      </c>
      <c r="F150" s="14">
        <v>1341848</v>
      </c>
      <c r="G150" s="14">
        <v>78077.600000000006</v>
      </c>
      <c r="H150" s="52">
        <v>25079.5</v>
      </c>
      <c r="I150" s="52">
        <v>724002.3</v>
      </c>
      <c r="J150" s="53">
        <v>-497429.79999999993</v>
      </c>
      <c r="K150" s="14">
        <v>-94982.500000000015</v>
      </c>
      <c r="L150" s="14">
        <f t="shared" si="40"/>
        <v>1576595.1000000006</v>
      </c>
      <c r="M150" s="14">
        <v>25926.899999999998</v>
      </c>
      <c r="N150" s="14">
        <v>1372820.333333333</v>
      </c>
      <c r="O150" s="54">
        <v>496</v>
      </c>
      <c r="P150" s="54">
        <v>12381.5</v>
      </c>
      <c r="Q150" s="14">
        <f>SUM(M150:P150)</f>
        <v>1411624.7333333329</v>
      </c>
      <c r="R150" s="14">
        <f>SUM(L150,Q150)</f>
        <v>2988219.8333333335</v>
      </c>
      <c r="S150" s="14">
        <f t="shared" si="43"/>
        <v>2726300.9333333336</v>
      </c>
    </row>
    <row r="151" spans="1:19" s="51" customFormat="1" ht="18">
      <c r="A151" s="15" t="s">
        <v>71</v>
      </c>
      <c r="B151" s="14">
        <v>388061.1999999999</v>
      </c>
      <c r="C151" s="14">
        <v>-603082.79999999981</v>
      </c>
      <c r="D151" s="14">
        <f t="shared" si="39"/>
        <v>-215021.59999999992</v>
      </c>
      <c r="E151" s="14">
        <v>0</v>
      </c>
      <c r="F151" s="14">
        <v>1373091.0000000002</v>
      </c>
      <c r="G151" s="14">
        <v>75978.7</v>
      </c>
      <c r="H151" s="52">
        <v>23686.2</v>
      </c>
      <c r="I151" s="52">
        <v>722793.2</v>
      </c>
      <c r="J151" s="53">
        <v>-450878.30000000005</v>
      </c>
      <c r="K151" s="14">
        <v>-95938.200000000012</v>
      </c>
      <c r="L151" s="14">
        <f t="shared" ref="L151" si="44">SUM( (E151:K151))</f>
        <v>1648732.6</v>
      </c>
      <c r="M151" s="14">
        <v>42179.299999999988</v>
      </c>
      <c r="N151" s="14">
        <v>1340807.0000000002</v>
      </c>
      <c r="O151" s="54">
        <v>458.5</v>
      </c>
      <c r="P151" s="54">
        <v>13691.699999999999</v>
      </c>
      <c r="Q151" s="14">
        <f>SUM(M151:P151)</f>
        <v>1397136.5000000002</v>
      </c>
      <c r="R151" s="14">
        <f>SUM(L151,Q151)</f>
        <v>3045869.1000000006</v>
      </c>
      <c r="S151" s="14">
        <f t="shared" si="43"/>
        <v>2830847.5000000005</v>
      </c>
    </row>
    <row r="152" spans="1:19" s="51" customFormat="1" ht="18">
      <c r="A152" s="15" t="s">
        <v>73</v>
      </c>
      <c r="B152" s="14">
        <v>336863.6</v>
      </c>
      <c r="C152" s="14">
        <v>-662873</v>
      </c>
      <c r="D152" s="14">
        <f t="shared" si="39"/>
        <v>-326009.40000000002</v>
      </c>
      <c r="E152" s="14">
        <v>0</v>
      </c>
      <c r="F152" s="14">
        <v>1411185.8000000003</v>
      </c>
      <c r="G152" s="14">
        <f>18507.3+104859.1+50.8+0</f>
        <v>123417.20000000001</v>
      </c>
      <c r="H152" s="52">
        <v>23686.1</v>
      </c>
      <c r="I152" s="52">
        <v>722793.2</v>
      </c>
      <c r="J152" s="53">
        <v>-454024.80000000005</v>
      </c>
      <c r="K152" s="14">
        <v>-97728.60000000002</v>
      </c>
      <c r="L152" s="14">
        <f t="shared" ref="L152:L158" si="45">SUM( (E152:K152))</f>
        <v>1729328.9000000001</v>
      </c>
      <c r="M152" s="14">
        <f>37420.9+101.6</f>
        <v>37522.5</v>
      </c>
      <c r="N152" s="14">
        <f>1317096.5+68856.6-157.9-0-0-13533.8</f>
        <v>1372261.4000000001</v>
      </c>
      <c r="O152" s="54">
        <v>370.8</v>
      </c>
      <c r="P152" s="54">
        <f>157.9+0+0+13533.8</f>
        <v>13691.699999999999</v>
      </c>
      <c r="Q152" s="14">
        <f t="shared" ref="Q152:Q166" si="46">SUM(M152:P152)</f>
        <v>1423846.4000000001</v>
      </c>
      <c r="R152" s="14">
        <f t="shared" ref="R152:R166" si="47">SUM(L152,Q152)</f>
        <v>3153175.3000000003</v>
      </c>
      <c r="S152" s="14">
        <f t="shared" si="43"/>
        <v>2827165.9000000004</v>
      </c>
    </row>
    <row r="153" spans="1:19" s="51" customFormat="1" ht="18">
      <c r="A153" s="15" t="s">
        <v>74</v>
      </c>
      <c r="B153" s="14">
        <v>391387.4</v>
      </c>
      <c r="C153" s="14">
        <v>-646726.6</v>
      </c>
      <c r="D153" s="14">
        <f t="shared" si="39"/>
        <v>-255339.19999999995</v>
      </c>
      <c r="E153" s="14">
        <v>0</v>
      </c>
      <c r="F153" s="14">
        <v>1421147.0000000002</v>
      </c>
      <c r="G153" s="14">
        <f>18507.3+105451.8+84.3+0</f>
        <v>124043.40000000001</v>
      </c>
      <c r="H153" s="52">
        <v>22292.799999999999</v>
      </c>
      <c r="I153" s="52">
        <v>721584.1</v>
      </c>
      <c r="J153" s="53">
        <v>-463986.5</v>
      </c>
      <c r="K153" s="14">
        <v>-96011.1</v>
      </c>
      <c r="L153" s="14">
        <f t="shared" si="45"/>
        <v>1729069.7000000002</v>
      </c>
      <c r="M153" s="14">
        <f>34653.6+101.6</f>
        <v>34755.199999999997</v>
      </c>
      <c r="N153" s="14">
        <f>1310566.5+67089.1-157.9-0-0-13533.8</f>
        <v>1363963.9000000001</v>
      </c>
      <c r="O153" s="54">
        <v>327</v>
      </c>
      <c r="P153" s="54">
        <f>157.9+0+0+13533.8</f>
        <v>13691.699999999999</v>
      </c>
      <c r="Q153" s="14">
        <f t="shared" si="46"/>
        <v>1412737.8</v>
      </c>
      <c r="R153" s="14">
        <f t="shared" si="47"/>
        <v>3141807.5</v>
      </c>
      <c r="S153" s="14">
        <f t="shared" si="43"/>
        <v>2886468.3</v>
      </c>
    </row>
    <row r="154" spans="1:19" s="51" customFormat="1" ht="18">
      <c r="A154" s="15" t="s">
        <v>75</v>
      </c>
      <c r="B154" s="14">
        <v>346877</v>
      </c>
      <c r="C154" s="14">
        <v>-636787.1</v>
      </c>
      <c r="D154" s="14">
        <f t="shared" si="39"/>
        <v>-289910.09999999998</v>
      </c>
      <c r="E154" s="14">
        <v>0</v>
      </c>
      <c r="F154" s="14">
        <f>0+0+0+51183+1270664.1+59841.5+17453.8+3073.8+14308.4</f>
        <v>1416524.6</v>
      </c>
      <c r="G154" s="14">
        <f>18507.3+106337.4+0+0</f>
        <v>124844.7</v>
      </c>
      <c r="H154" s="52">
        <v>19506.2</v>
      </c>
      <c r="I154" s="52">
        <v>719165.8</v>
      </c>
      <c r="J154" s="53">
        <v>-510394.5</v>
      </c>
      <c r="K154" s="14">
        <v>-77027.199999999997</v>
      </c>
      <c r="L154" s="14">
        <f t="shared" si="45"/>
        <v>1692619.5999999999</v>
      </c>
      <c r="M154" s="14">
        <f>32139.3+101.6</f>
        <v>32240.899999999998</v>
      </c>
      <c r="N154" s="14">
        <f>1342009.3+66164.2-157.9-0-0-14108.7</f>
        <v>1393906.9000000001</v>
      </c>
      <c r="O154" s="54">
        <v>342.2</v>
      </c>
      <c r="P154" s="54">
        <f>157.9+0+0+14108.7</f>
        <v>14266.6</v>
      </c>
      <c r="Q154" s="14">
        <f t="shared" si="46"/>
        <v>1440756.6</v>
      </c>
      <c r="R154" s="14">
        <f t="shared" si="47"/>
        <v>3133376.2</v>
      </c>
      <c r="S154" s="14">
        <f t="shared" si="43"/>
        <v>2843466.1</v>
      </c>
    </row>
    <row r="155" spans="1:19" s="51" customFormat="1" ht="18">
      <c r="A155" s="15" t="s">
        <v>77</v>
      </c>
      <c r="B155" s="14">
        <v>330978.89999999997</v>
      </c>
      <c r="C155" s="14">
        <v>-642025.89999999991</v>
      </c>
      <c r="D155" s="14">
        <f t="shared" si="39"/>
        <v>-311046.99999999994</v>
      </c>
      <c r="E155" s="14">
        <v>0</v>
      </c>
      <c r="F155" s="14">
        <f>0+0+0+50533.1+1285753.9+49093.9+17453.8+3099.7+14440.3</f>
        <v>1420374.7</v>
      </c>
      <c r="G155" s="14">
        <f>18507.3+107005.7+0+0</f>
        <v>125513</v>
      </c>
      <c r="H155" s="52">
        <v>18112.900000000001</v>
      </c>
      <c r="I155" s="52">
        <v>717956.7</v>
      </c>
      <c r="J155" s="53">
        <v>-470597.4</v>
      </c>
      <c r="K155" s="14">
        <v>-73644.3</v>
      </c>
      <c r="L155" s="14">
        <f t="shared" si="45"/>
        <v>1737715.5999999999</v>
      </c>
      <c r="M155" s="14">
        <f>33553.3+101.6</f>
        <v>33654.9</v>
      </c>
      <c r="N155" s="14">
        <f>1352874.2+62389-157.9-0-0-14108.7</f>
        <v>1400996.6</v>
      </c>
      <c r="O155" s="54">
        <v>357.29999999999995</v>
      </c>
      <c r="P155" s="54">
        <f>157.9+0+0+14108.7</f>
        <v>14266.6</v>
      </c>
      <c r="Q155" s="14">
        <f t="shared" si="46"/>
        <v>1449275.4000000001</v>
      </c>
      <c r="R155" s="14">
        <f t="shared" si="47"/>
        <v>3186991</v>
      </c>
      <c r="S155" s="14">
        <f t="shared" si="43"/>
        <v>2875944</v>
      </c>
    </row>
    <row r="156" spans="1:19" s="51" customFormat="1" ht="18">
      <c r="A156" s="15" t="s">
        <v>79</v>
      </c>
      <c r="B156" s="14">
        <v>312130.09999999998</v>
      </c>
      <c r="C156" s="14">
        <v>-657577.39999999991</v>
      </c>
      <c r="D156" s="14">
        <f t="shared" si="39"/>
        <v>-345447.29999999993</v>
      </c>
      <c r="E156" s="14">
        <v>0</v>
      </c>
      <c r="F156" s="14">
        <f>0+0+0+64033.1+1297860.1+49605.6+17453.8+3126.6+14576.6</f>
        <v>1446655.8000000005</v>
      </c>
      <c r="G156" s="14">
        <f>18507.3+100486.7+0+0+1852.2</f>
        <v>120846.2</v>
      </c>
      <c r="H156" s="52">
        <v>18112.900000000001</v>
      </c>
      <c r="I156" s="52">
        <v>717956.7</v>
      </c>
      <c r="J156" s="53">
        <v>-505903.30000000005</v>
      </c>
      <c r="K156" s="14">
        <v>-75206.900000000009</v>
      </c>
      <c r="L156" s="14">
        <f t="shared" si="45"/>
        <v>1722461.4000000006</v>
      </c>
      <c r="M156" s="14">
        <f>30460.2+101.6</f>
        <v>30561.8</v>
      </c>
      <c r="N156" s="14">
        <f>1419788.5+66153.1-157.9-0-0-14108.7</f>
        <v>1471675.0000000002</v>
      </c>
      <c r="O156" s="54">
        <v>552.5</v>
      </c>
      <c r="P156" s="54">
        <f>157.9+0+0+14108.7</f>
        <v>14266.6</v>
      </c>
      <c r="Q156" s="14">
        <f t="shared" si="46"/>
        <v>1517055.9000000004</v>
      </c>
      <c r="R156" s="14">
        <f t="shared" si="47"/>
        <v>3239517.3000000007</v>
      </c>
      <c r="S156" s="14">
        <f t="shared" si="43"/>
        <v>2894070.0000000009</v>
      </c>
    </row>
    <row r="157" spans="1:19" s="51" customFormat="1" ht="18">
      <c r="A157" s="15" t="s">
        <v>80</v>
      </c>
      <c r="B157" s="14">
        <v>309848.40000000002</v>
      </c>
      <c r="C157" s="14">
        <v>-647711.69999999995</v>
      </c>
      <c r="D157" s="14">
        <f t="shared" si="39"/>
        <v>-337863.29999999993</v>
      </c>
      <c r="E157" s="14">
        <v>0</v>
      </c>
      <c r="F157" s="14">
        <f>0+0+0+59283+1350702.5+59204.6+19642.3+3152.5+14708.5</f>
        <v>1506693.4000000001</v>
      </c>
      <c r="G157" s="14">
        <f>18507.3+101272.9+0+21.1+5357.5</f>
        <v>125158.8</v>
      </c>
      <c r="H157" s="52">
        <v>15326.3</v>
      </c>
      <c r="I157" s="52">
        <v>715538.4</v>
      </c>
      <c r="J157" s="53">
        <v>-447147.39999999991</v>
      </c>
      <c r="K157" s="14">
        <v>-86594.1</v>
      </c>
      <c r="L157" s="14">
        <f t="shared" si="45"/>
        <v>1828975.4000000004</v>
      </c>
      <c r="M157" s="14">
        <f>29577.4+101.6</f>
        <v>29679</v>
      </c>
      <c r="N157" s="14">
        <f>1426210.1+65000.9-157.9-0-0-13851.3</f>
        <v>1477201.8</v>
      </c>
      <c r="O157" s="54">
        <v>328.2</v>
      </c>
      <c r="P157" s="54">
        <f t="shared" ref="P157:P162" si="48">157.9+0+0+13851.3</f>
        <v>14009.199999999999</v>
      </c>
      <c r="Q157" s="14">
        <f t="shared" si="46"/>
        <v>1521218.2</v>
      </c>
      <c r="R157" s="14">
        <f t="shared" si="47"/>
        <v>3350193.6000000006</v>
      </c>
      <c r="S157" s="14">
        <f t="shared" si="43"/>
        <v>3012330.3000000007</v>
      </c>
    </row>
    <row r="158" spans="1:19" s="51" customFormat="1" ht="18">
      <c r="A158" s="15" t="s">
        <v>81</v>
      </c>
      <c r="B158" s="14">
        <v>340926.4</v>
      </c>
      <c r="C158" s="14">
        <v>-658346.19999999984</v>
      </c>
      <c r="D158" s="14">
        <f t="shared" si="39"/>
        <v>-317419.79999999981</v>
      </c>
      <c r="E158" s="14">
        <v>0</v>
      </c>
      <c r="F158" s="14">
        <f>0+0+0+53583+1382662.1+63639.5+19642.3+3179.4+14645.3</f>
        <v>1537351.6</v>
      </c>
      <c r="G158" s="14">
        <f>18507.3+100450.9+21.1+9362.2</f>
        <v>128341.5</v>
      </c>
      <c r="H158" s="52">
        <v>13933</v>
      </c>
      <c r="I158" s="52">
        <v>714329.3</v>
      </c>
      <c r="J158" s="53">
        <v>-496348.03333333327</v>
      </c>
      <c r="K158" s="14">
        <v>-87632.4</v>
      </c>
      <c r="L158" s="14">
        <f t="shared" si="45"/>
        <v>1809974.9666666673</v>
      </c>
      <c r="M158" s="14">
        <f>27283+101.6</f>
        <v>27384.6</v>
      </c>
      <c r="N158" s="14">
        <f>1491883.9+68924.8-157.9-0-0-13851.3</f>
        <v>1546799.5</v>
      </c>
      <c r="O158" s="54">
        <v>226.5</v>
      </c>
      <c r="P158" s="54">
        <f t="shared" si="48"/>
        <v>14009.199999999999</v>
      </c>
      <c r="Q158" s="14">
        <f t="shared" si="46"/>
        <v>1588419.8</v>
      </c>
      <c r="R158" s="14">
        <f t="shared" si="47"/>
        <v>3398394.7666666675</v>
      </c>
      <c r="S158" s="14">
        <f t="shared" si="43"/>
        <v>3080974.9666666677</v>
      </c>
    </row>
    <row r="159" spans="1:19" s="51" customFormat="1" ht="18">
      <c r="A159" s="15" t="s">
        <v>82</v>
      </c>
      <c r="B159" s="14">
        <v>365381.4</v>
      </c>
      <c r="C159" s="14">
        <v>-628703.79999999981</v>
      </c>
      <c r="D159" s="14">
        <f t="shared" si="39"/>
        <v>-263322.39999999979</v>
      </c>
      <c r="E159" s="14">
        <v>0</v>
      </c>
      <c r="F159" s="14">
        <v>1558569.3</v>
      </c>
      <c r="G159" s="14">
        <f>18507.3+101333.4+21.1+23833.1</f>
        <v>143694.9</v>
      </c>
      <c r="H159" s="52">
        <v>13933</v>
      </c>
      <c r="I159" s="52">
        <v>713689.4</v>
      </c>
      <c r="J159" s="53">
        <v>-559017.56666666677</v>
      </c>
      <c r="K159" s="14">
        <v>-88159.1</v>
      </c>
      <c r="L159" s="14">
        <f t="shared" ref="L159:L166" si="49">SUM( (E159:K159))</f>
        <v>1782709.9333333331</v>
      </c>
      <c r="M159" s="14">
        <v>27780.7</v>
      </c>
      <c r="N159" s="14">
        <v>1586628.1666666667</v>
      </c>
      <c r="O159" s="54">
        <v>305.60000000000002</v>
      </c>
      <c r="P159" s="54">
        <f t="shared" si="48"/>
        <v>14009.199999999999</v>
      </c>
      <c r="Q159" s="14">
        <f t="shared" si="46"/>
        <v>1628723.6666666667</v>
      </c>
      <c r="R159" s="14">
        <f t="shared" si="47"/>
        <v>3411433.5999999996</v>
      </c>
      <c r="S159" s="14">
        <f t="shared" si="43"/>
        <v>3148111.1999999997</v>
      </c>
    </row>
    <row r="160" spans="1:19" s="51" customFormat="1" ht="18">
      <c r="A160" s="15" t="s">
        <v>83</v>
      </c>
      <c r="B160" s="14">
        <v>371271.69999999995</v>
      </c>
      <c r="C160" s="14">
        <v>-655993.29999999993</v>
      </c>
      <c r="D160" s="14">
        <f t="shared" si="39"/>
        <v>-284721.59999999998</v>
      </c>
      <c r="E160" s="14">
        <v>0</v>
      </c>
      <c r="F160" s="14">
        <v>1576945.4000000001</v>
      </c>
      <c r="G160" s="14">
        <f>18507.3+127767.4+42.1+25822.8+150000</f>
        <v>322139.59999999998</v>
      </c>
      <c r="H160" s="52">
        <v>12539.7</v>
      </c>
      <c r="I160" s="52">
        <v>713120.2</v>
      </c>
      <c r="J160" s="53">
        <v>-491189.80000000005</v>
      </c>
      <c r="K160" s="14">
        <v>-76753.3</v>
      </c>
      <c r="L160" s="14">
        <f t="shared" si="49"/>
        <v>2056801.7999999996</v>
      </c>
      <c r="M160" s="14">
        <v>30729.4</v>
      </c>
      <c r="N160" s="14">
        <v>1561214.0999999999</v>
      </c>
      <c r="O160" s="54">
        <v>311</v>
      </c>
      <c r="P160" s="54">
        <f t="shared" si="48"/>
        <v>14009.199999999999</v>
      </c>
      <c r="Q160" s="14">
        <f t="shared" si="46"/>
        <v>1606263.6999999997</v>
      </c>
      <c r="R160" s="14">
        <f t="shared" si="47"/>
        <v>3663065.4999999991</v>
      </c>
      <c r="S160" s="14">
        <f t="shared" si="43"/>
        <v>3378343.899999999</v>
      </c>
    </row>
    <row r="161" spans="1:19" s="51" customFormat="1" ht="18">
      <c r="A161" s="15" t="s">
        <v>85</v>
      </c>
      <c r="B161" s="14">
        <v>372584.3</v>
      </c>
      <c r="C161" s="14">
        <v>-656532.6</v>
      </c>
      <c r="D161" s="14">
        <f t="shared" si="39"/>
        <v>-283948.3</v>
      </c>
      <c r="E161" s="14">
        <v>0</v>
      </c>
      <c r="F161" s="14">
        <v>1599941.3</v>
      </c>
      <c r="G161" s="14">
        <f>18507.3+128263.2+42.1+26917.5+150000+2000</f>
        <v>325730.09999999998</v>
      </c>
      <c r="H161" s="52">
        <v>11146.4</v>
      </c>
      <c r="I161" s="52">
        <v>711911</v>
      </c>
      <c r="J161" s="53">
        <v>-522050.52063433337</v>
      </c>
      <c r="K161" s="14">
        <v>-89546.6</v>
      </c>
      <c r="L161" s="14">
        <f t="shared" si="49"/>
        <v>2037131.6793656661</v>
      </c>
      <c r="M161" s="14">
        <v>27993.300000000003</v>
      </c>
      <c r="N161" s="14">
        <v>1575524.4000000001</v>
      </c>
      <c r="O161" s="54">
        <v>1236.8</v>
      </c>
      <c r="P161" s="54">
        <f t="shared" si="48"/>
        <v>14009.199999999999</v>
      </c>
      <c r="Q161" s="14">
        <f t="shared" si="46"/>
        <v>1618763.7000000002</v>
      </c>
      <c r="R161" s="14">
        <f t="shared" si="47"/>
        <v>3655895.3793656663</v>
      </c>
      <c r="S161" s="14">
        <f t="shared" si="43"/>
        <v>3371947.0793656665</v>
      </c>
    </row>
    <row r="162" spans="1:19" s="51" customFormat="1" ht="18">
      <c r="A162" s="15" t="s">
        <v>86</v>
      </c>
      <c r="B162" s="14">
        <v>391549.6</v>
      </c>
      <c r="C162" s="14">
        <v>-677895.89999999991</v>
      </c>
      <c r="D162" s="14">
        <f t="shared" si="39"/>
        <v>-286346.29999999993</v>
      </c>
      <c r="E162" s="14">
        <v>0</v>
      </c>
      <c r="F162" s="14">
        <v>1614017.9000000001</v>
      </c>
      <c r="G162" s="14">
        <f>18507.3+122122.1+42.1+26994.4+150000+2000</f>
        <v>319665.90000000002</v>
      </c>
      <c r="H162" s="52">
        <v>9753.1</v>
      </c>
      <c r="I162" s="52">
        <v>710701.89999999991</v>
      </c>
      <c r="J162" s="53">
        <v>-534458.91095966659</v>
      </c>
      <c r="K162" s="14">
        <v>-78500.700000000012</v>
      </c>
      <c r="L162" s="14">
        <f t="shared" si="49"/>
        <v>2041179.1890403337</v>
      </c>
      <c r="M162" s="14">
        <v>23331.999999999996</v>
      </c>
      <c r="N162" s="14">
        <v>1605563.4000000001</v>
      </c>
      <c r="O162" s="54">
        <v>1196.1000000000001</v>
      </c>
      <c r="P162" s="54">
        <f t="shared" si="48"/>
        <v>14009.199999999999</v>
      </c>
      <c r="Q162" s="14">
        <f t="shared" si="46"/>
        <v>1644100.7000000002</v>
      </c>
      <c r="R162" s="14">
        <f t="shared" si="47"/>
        <v>3685279.8890403342</v>
      </c>
      <c r="S162" s="14">
        <f t="shared" si="43"/>
        <v>3398933.5890403343</v>
      </c>
    </row>
    <row r="163" spans="1:19" s="51" customFormat="1" ht="18">
      <c r="A163" s="15" t="s">
        <v>87</v>
      </c>
      <c r="B163" s="14">
        <v>455194.7</v>
      </c>
      <c r="C163" s="14">
        <v>-664793.79999999993</v>
      </c>
      <c r="D163" s="14">
        <f t="shared" si="39"/>
        <v>-209599.09999999992</v>
      </c>
      <c r="E163" s="14">
        <v>0</v>
      </c>
      <c r="F163" s="14">
        <f>0+0+0+99484+1447869.6+66814+19642.3+3186.1+14432.8</f>
        <v>1651428.8000000003</v>
      </c>
      <c r="G163" s="14">
        <f>18507.3+123568.6+63.2+27463+150000+2000</f>
        <v>321602.09999999998</v>
      </c>
      <c r="H163" s="52">
        <v>6921.2</v>
      </c>
      <c r="I163" s="52">
        <v>708283.6</v>
      </c>
      <c r="J163" s="53">
        <v>-555022.21651699999</v>
      </c>
      <c r="K163" s="14">
        <v>-72918.899999999994</v>
      </c>
      <c r="L163" s="14">
        <f t="shared" si="49"/>
        <v>2060294.5834830003</v>
      </c>
      <c r="M163" s="14">
        <f>22344.7+101.6</f>
        <v>22446.3</v>
      </c>
      <c r="N163" s="14">
        <f>1567588.1+79297.3-157.9-0-0-13851.3</f>
        <v>1632876.2000000002</v>
      </c>
      <c r="O163" s="54">
        <v>1185.1999999999998</v>
      </c>
      <c r="P163" s="54">
        <f>157.9+0+0+13851.3</f>
        <v>14009.199999999999</v>
      </c>
      <c r="Q163" s="14">
        <f t="shared" si="46"/>
        <v>1670516.9000000001</v>
      </c>
      <c r="R163" s="14">
        <f t="shared" si="47"/>
        <v>3730811.4834830007</v>
      </c>
      <c r="S163" s="14">
        <f t="shared" si="43"/>
        <v>3521212.3834830006</v>
      </c>
    </row>
    <row r="164" spans="1:19" s="51" customFormat="1" ht="18">
      <c r="A164" s="15" t="s">
        <v>90</v>
      </c>
      <c r="B164" s="14">
        <v>463212.70000000007</v>
      </c>
      <c r="C164" s="14">
        <v>-687085.9</v>
      </c>
      <c r="D164" s="14">
        <f t="shared" si="39"/>
        <v>-223873.19999999995</v>
      </c>
      <c r="E164" s="14">
        <v>0</v>
      </c>
      <c r="F164" s="14">
        <f>0+0+0+106324+1457030+66802.1+19642.3+3338.6+14433.4</f>
        <v>1667570.4000000001</v>
      </c>
      <c r="G164" s="14">
        <f>18507.3+121431+63.2+27463+150000+2000</f>
        <v>319464.5</v>
      </c>
      <c r="H164" s="52">
        <v>6921.2</v>
      </c>
      <c r="I164" s="52">
        <v>708283.6</v>
      </c>
      <c r="J164" s="53">
        <v>-567712.97774200002</v>
      </c>
      <c r="K164" s="14">
        <v>-84343.1</v>
      </c>
      <c r="L164" s="14">
        <f t="shared" si="49"/>
        <v>2050183.6222580001</v>
      </c>
      <c r="M164" s="14">
        <f>28189.1+101.6</f>
        <v>28290.699999999997</v>
      </c>
      <c r="N164" s="14">
        <f>1584373.5+83490.5-157.9-0-0-13851.3</f>
        <v>1653854.8</v>
      </c>
      <c r="O164" s="54">
        <v>1063.0999999999999</v>
      </c>
      <c r="P164" s="54">
        <f>157.9+0+0+13851.3</f>
        <v>14009.199999999999</v>
      </c>
      <c r="Q164" s="14">
        <f t="shared" si="46"/>
        <v>1697217.8</v>
      </c>
      <c r="R164" s="14">
        <f t="shared" si="47"/>
        <v>3747401.4222579999</v>
      </c>
      <c r="S164" s="14">
        <f t="shared" si="43"/>
        <v>3523528.2222579997</v>
      </c>
    </row>
    <row r="165" spans="1:19" s="51" customFormat="1" ht="18">
      <c r="A165" s="15" t="s">
        <v>91</v>
      </c>
      <c r="B165" s="14">
        <v>484639.5</v>
      </c>
      <c r="C165" s="14">
        <v>-678602.79999999993</v>
      </c>
      <c r="D165" s="14">
        <f t="shared" si="39"/>
        <v>-193963.29999999993</v>
      </c>
      <c r="E165" s="14">
        <v>0</v>
      </c>
      <c r="F165" s="14">
        <f>0+0+2043+125624+1451471.2+73895.9+19642.3+0+14320.3</f>
        <v>1686996.7</v>
      </c>
      <c r="G165" s="14">
        <f>18507.3+149042.3+63.2+27463+150000+2000+4668.9</f>
        <v>351744.7</v>
      </c>
      <c r="H165" s="52">
        <v>5527.9</v>
      </c>
      <c r="I165" s="52">
        <v>704458.1</v>
      </c>
      <c r="J165" s="53">
        <v>-623536.602893</v>
      </c>
      <c r="K165" s="14">
        <v>-74182.100000000006</v>
      </c>
      <c r="L165" s="14">
        <f t="shared" si="49"/>
        <v>2051008.6971069998</v>
      </c>
      <c r="M165" s="14">
        <f>26251.3+101.6</f>
        <v>26352.899999999998</v>
      </c>
      <c r="N165" s="14">
        <f>1617557.7+79099-157.9-0-0-13851.3</f>
        <v>1682647.5</v>
      </c>
      <c r="O165" s="54">
        <v>1036.3</v>
      </c>
      <c r="P165" s="54">
        <f>157.9+0+0+13851.3</f>
        <v>14009.199999999999</v>
      </c>
      <c r="Q165" s="14">
        <f t="shared" si="46"/>
        <v>1724045.9</v>
      </c>
      <c r="R165" s="14">
        <f t="shared" si="47"/>
        <v>3775054.5971069997</v>
      </c>
      <c r="S165" s="14">
        <f t="shared" si="43"/>
        <v>3581091.2971069999</v>
      </c>
    </row>
    <row r="166" spans="1:19" s="51" customFormat="1" ht="18">
      <c r="A166" s="15" t="s">
        <v>92</v>
      </c>
      <c r="B166" s="14">
        <v>431468.70000000007</v>
      </c>
      <c r="C166" s="14">
        <v>-663840.39999999991</v>
      </c>
      <c r="D166" s="14">
        <f t="shared" si="39"/>
        <v>-232371.69999999984</v>
      </c>
      <c r="E166" s="14">
        <v>0</v>
      </c>
      <c r="F166" s="14">
        <f>0+0+126464+1443480.7+78836.6+19642.3+2063.1+14299.2</f>
        <v>1684785.9000000001</v>
      </c>
      <c r="G166" s="14">
        <f>18507.3+145910.2+63.2+0+150000+2000+4668.9</f>
        <v>321149.60000000003</v>
      </c>
      <c r="H166" s="52">
        <v>4134.6000000000004</v>
      </c>
      <c r="I166" s="52">
        <v>703262.9</v>
      </c>
      <c r="J166" s="53">
        <v>-576523.60000000009</v>
      </c>
      <c r="K166" s="14">
        <v>-77855.7</v>
      </c>
      <c r="L166" s="14">
        <f t="shared" si="49"/>
        <v>2058953.7000000004</v>
      </c>
      <c r="M166" s="14">
        <f>24587.6+101.6</f>
        <v>24689.199999999997</v>
      </c>
      <c r="N166" s="14">
        <f>1668789.7+76918.4-157.9-0-0-13851.3</f>
        <v>1731698.9</v>
      </c>
      <c r="O166" s="54">
        <v>734.60000000000014</v>
      </c>
      <c r="P166" s="54">
        <f>157.9+0+0+13851.3</f>
        <v>14009.199999999999</v>
      </c>
      <c r="Q166" s="14">
        <f t="shared" si="46"/>
        <v>1771131.9</v>
      </c>
      <c r="R166" s="14">
        <f t="shared" si="47"/>
        <v>3830085.6000000006</v>
      </c>
      <c r="S166" s="14">
        <f t="shared" si="43"/>
        <v>3597713.9000000008</v>
      </c>
    </row>
    <row r="167" spans="1:19" s="51" customFormat="1" ht="12.75" customHeight="1">
      <c r="A167" s="64" t="s">
        <v>5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6"/>
    </row>
    <row r="168" spans="1:19" s="51" customFormat="1" ht="12.75" customHeight="1">
      <c r="A168" s="67"/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69"/>
    </row>
    <row r="169" spans="1:19">
      <c r="A169" s="3"/>
      <c r="B169" s="5"/>
      <c r="C169" s="5"/>
      <c r="D169" s="5"/>
      <c r="E169" s="5"/>
      <c r="F169" s="5"/>
      <c r="G169" s="5"/>
      <c r="H169" s="5"/>
      <c r="I169" s="5"/>
      <c r="J169" s="5"/>
      <c r="K169" s="6"/>
      <c r="L169" s="5"/>
      <c r="M169" s="5" t="s">
        <v>6</v>
      </c>
      <c r="N169" s="5"/>
      <c r="O169" s="9"/>
      <c r="P169" s="9"/>
      <c r="Q169" s="5"/>
      <c r="R169" s="5"/>
      <c r="S169" s="5"/>
    </row>
    <row r="170" spans="1:19">
      <c r="A170" s="3"/>
      <c r="B170" s="7"/>
      <c r="C170" s="7"/>
      <c r="D170" s="7"/>
      <c r="E170" s="3"/>
      <c r="F170" s="7"/>
      <c r="G170" s="7"/>
      <c r="H170" s="7"/>
      <c r="I170" s="7"/>
      <c r="J170" s="7"/>
      <c r="K170" s="3"/>
      <c r="L170" s="3"/>
      <c r="M170" s="7"/>
      <c r="N170" s="3"/>
      <c r="O170" s="10"/>
      <c r="P170" s="10"/>
      <c r="Q170" s="7"/>
      <c r="R170" s="3"/>
      <c r="S170" s="3"/>
    </row>
  </sheetData>
  <mergeCells count="9">
    <mergeCell ref="A167:S168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63"/>
  <sheetViews>
    <sheetView workbookViewId="0">
      <pane xSplit="1" ySplit="7" topLeftCell="Q56" activePane="bottomRight" state="frozen"/>
      <selection pane="topRight" activeCell="B1" sqref="B1"/>
      <selection pane="bottomLeft" activeCell="A8" sqref="A8"/>
      <selection pane="bottomRight" activeCell="A59" sqref="A59:XFD59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18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18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18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ref="D19:D35" si="5">SUM(B19:C19)</f>
        <v>252700.79999999993</v>
      </c>
      <c r="E19" s="14">
        <v>19134.2</v>
      </c>
      <c r="F19" s="14">
        <v>109938.3</v>
      </c>
      <c r="G19" s="14">
        <v>14362.999999999998</v>
      </c>
      <c r="H19" s="52">
        <v>88925</v>
      </c>
      <c r="I19" s="52">
        <v>145130.9</v>
      </c>
      <c r="J19" s="53">
        <v>-154580.5</v>
      </c>
      <c r="K19" s="14">
        <v>-11748.2</v>
      </c>
      <c r="L19" s="14">
        <f t="shared" ref="L19:L40" si="6">SUM( (E19:K19))</f>
        <v>211162.7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0" si="7">SUM(L19,Q19)</f>
        <v>726774.8</v>
      </c>
      <c r="S19" s="14">
        <f t="shared" ref="S19:S40" si="8">SUM(D19,R19)</f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5"/>
        <v>246404.79999999993</v>
      </c>
      <c r="E20" s="14">
        <v>2480.5</v>
      </c>
      <c r="F20" s="14">
        <v>120400.09999999999</v>
      </c>
      <c r="G20" s="14">
        <v>13218.2</v>
      </c>
      <c r="H20" s="52">
        <v>74325</v>
      </c>
      <c r="I20" s="52">
        <v>144206.6</v>
      </c>
      <c r="J20" s="53">
        <v>-168071.85</v>
      </c>
      <c r="K20" s="14">
        <v>-9395.7999999999993</v>
      </c>
      <c r="L20" s="14">
        <f t="shared" si="6"/>
        <v>177162.75000000003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9">SUM(M20:P20)</f>
        <v>546898.84999999986</v>
      </c>
      <c r="R20" s="14">
        <f t="shared" si="7"/>
        <v>724061.59999999986</v>
      </c>
      <c r="S20" s="14">
        <f t="shared" si="8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5"/>
        <v>222926.60000000003</v>
      </c>
      <c r="E21" s="14">
        <v>24462.799999999999</v>
      </c>
      <c r="F21" s="14">
        <v>118274.7</v>
      </c>
      <c r="G21" s="14">
        <v>18392.2</v>
      </c>
      <c r="H21" s="52">
        <v>74325</v>
      </c>
      <c r="I21" s="52">
        <v>143282.1</v>
      </c>
      <c r="J21" s="53">
        <v>-178609.6</v>
      </c>
      <c r="K21" s="14">
        <v>-12941</v>
      </c>
      <c r="L21" s="14">
        <f t="shared" si="6"/>
        <v>187186.20000000004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9"/>
        <v>606705.5</v>
      </c>
      <c r="R21" s="14">
        <f t="shared" si="7"/>
        <v>793891.70000000007</v>
      </c>
      <c r="S21" s="14">
        <f t="shared" si="8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5"/>
        <v>168393.30000000005</v>
      </c>
      <c r="E22" s="14">
        <v>29256.3</v>
      </c>
      <c r="F22" s="14">
        <v>107818.2</v>
      </c>
      <c r="G22" s="14">
        <v>13355.400000000001</v>
      </c>
      <c r="H22" s="52">
        <v>74325</v>
      </c>
      <c r="I22" s="52">
        <v>142357.70000000001</v>
      </c>
      <c r="J22" s="53">
        <v>-153334.25</v>
      </c>
      <c r="K22" s="14">
        <v>-13503.9</v>
      </c>
      <c r="L22" s="14">
        <f t="shared" si="6"/>
        <v>200274.44999999998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9"/>
        <v>653326.60000000009</v>
      </c>
      <c r="R22" s="14">
        <f t="shared" si="7"/>
        <v>853601.05</v>
      </c>
      <c r="S22" s="14">
        <f t="shared" si="8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5"/>
        <v>204437.7</v>
      </c>
      <c r="E23" s="14">
        <v>86260.6</v>
      </c>
      <c r="F23" s="14">
        <v>85318.2</v>
      </c>
      <c r="G23" s="14">
        <v>15025.099999999999</v>
      </c>
      <c r="H23" s="52">
        <v>94325</v>
      </c>
      <c r="I23" s="52">
        <v>141433.29999999999</v>
      </c>
      <c r="J23" s="53">
        <v>-175871.7</v>
      </c>
      <c r="K23" s="14">
        <v>-14154.1</v>
      </c>
      <c r="L23" s="14">
        <f t="shared" si="6"/>
        <v>232336.4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9"/>
        <v>669978.29999999993</v>
      </c>
      <c r="R23" s="14">
        <f t="shared" si="7"/>
        <v>902314.7</v>
      </c>
      <c r="S23" s="14">
        <f t="shared" si="8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5"/>
        <v>185094.00000000017</v>
      </c>
      <c r="E24" s="14">
        <v>41361.199999999997</v>
      </c>
      <c r="F24" s="14">
        <v>73584.899999999994</v>
      </c>
      <c r="G24" s="14">
        <v>16899.8</v>
      </c>
      <c r="H24" s="52">
        <v>94325</v>
      </c>
      <c r="I24" s="52">
        <v>140508.9</v>
      </c>
      <c r="J24" s="53">
        <v>-190087.25</v>
      </c>
      <c r="K24" s="14">
        <v>-16840.8</v>
      </c>
      <c r="L24" s="14">
        <f t="shared" si="6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9"/>
        <v>689938.82500000007</v>
      </c>
      <c r="R24" s="14">
        <f t="shared" si="7"/>
        <v>849690.57500000007</v>
      </c>
      <c r="S24" s="14">
        <f t="shared" si="8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5"/>
        <v>127097.30000000005</v>
      </c>
      <c r="E25" s="14">
        <v>49375</v>
      </c>
      <c r="F25" s="14">
        <v>63934.9</v>
      </c>
      <c r="G25" s="14">
        <v>19388.099999999999</v>
      </c>
      <c r="H25" s="52">
        <v>94325</v>
      </c>
      <c r="I25" s="52">
        <v>139584.5</v>
      </c>
      <c r="J25" s="53">
        <v>-147162.30000000002</v>
      </c>
      <c r="K25" s="14">
        <v>-13565.2</v>
      </c>
      <c r="L25" s="14">
        <f t="shared" si="6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9"/>
        <v>751668.55000000016</v>
      </c>
      <c r="R25" s="14">
        <f t="shared" si="7"/>
        <v>957548.55000000016</v>
      </c>
      <c r="S25" s="14">
        <f t="shared" si="8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5"/>
        <v>160242.70000000001</v>
      </c>
      <c r="E26" s="14">
        <v>51763.199999999997</v>
      </c>
      <c r="F26" s="14">
        <v>39000.600000000006</v>
      </c>
      <c r="G26" s="14">
        <v>14652.699999999999</v>
      </c>
      <c r="H26" s="52">
        <v>108925</v>
      </c>
      <c r="I26" s="52">
        <v>138968.29999999999</v>
      </c>
      <c r="J26" s="53">
        <v>-134374.44999999998</v>
      </c>
      <c r="K26" s="14">
        <v>-15255.2</v>
      </c>
      <c r="L26" s="14">
        <f t="shared" si="6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9"/>
        <v>767549.52500000002</v>
      </c>
      <c r="R26" s="14">
        <f t="shared" si="7"/>
        <v>971229.67500000005</v>
      </c>
      <c r="S26" s="14">
        <f t="shared" si="8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5"/>
        <v>195824.90000000002</v>
      </c>
      <c r="E27" s="14">
        <v>155251.9</v>
      </c>
      <c r="F27" s="14">
        <v>49858.100000000006</v>
      </c>
      <c r="G27" s="14">
        <v>18678.699999999997</v>
      </c>
      <c r="H27" s="52">
        <v>117037.4</v>
      </c>
      <c r="I27" s="52">
        <v>137735.70000000001</v>
      </c>
      <c r="J27" s="53">
        <v>-183055</v>
      </c>
      <c r="K27" s="14">
        <v>-18296</v>
      </c>
      <c r="L27" s="14">
        <f t="shared" si="6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9"/>
        <v>763973.20000000007</v>
      </c>
      <c r="R27" s="14">
        <f t="shared" si="7"/>
        <v>1041184</v>
      </c>
      <c r="S27" s="14">
        <f t="shared" si="8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5"/>
        <v>197022.70000000013</v>
      </c>
      <c r="E28" s="14">
        <v>0</v>
      </c>
      <c r="F28" s="14">
        <v>47661.399999999994</v>
      </c>
      <c r="G28" s="14">
        <v>19576.75</v>
      </c>
      <c r="H28" s="52">
        <v>112857.5</v>
      </c>
      <c r="I28" s="52">
        <v>292063.09999999998</v>
      </c>
      <c r="J28" s="53">
        <v>-207125.34999999998</v>
      </c>
      <c r="K28" s="14">
        <v>-23122.7</v>
      </c>
      <c r="L28" s="14">
        <f t="shared" si="6"/>
        <v>241910.7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9"/>
        <v>806260.77499999991</v>
      </c>
      <c r="R28" s="14">
        <f t="shared" si="7"/>
        <v>1048171.4749999999</v>
      </c>
      <c r="S28" s="14">
        <f t="shared" si="8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5"/>
        <v>158040.10000000009</v>
      </c>
      <c r="E29" s="14">
        <v>0</v>
      </c>
      <c r="F29" s="14">
        <v>70934.600000000006</v>
      </c>
      <c r="G29" s="14">
        <v>19801.3</v>
      </c>
      <c r="H29" s="52">
        <v>108677.6</v>
      </c>
      <c r="I29" s="52">
        <v>291138.8</v>
      </c>
      <c r="J29" s="53">
        <v>-190628.9</v>
      </c>
      <c r="K29" s="14">
        <v>-15910.9</v>
      </c>
      <c r="L29" s="14">
        <f t="shared" si="6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9"/>
        <v>817820.15</v>
      </c>
      <c r="R29" s="14">
        <f t="shared" si="7"/>
        <v>1101832.6499999999</v>
      </c>
      <c r="S29" s="14">
        <f t="shared" si="8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5"/>
        <v>164367.40000000002</v>
      </c>
      <c r="E30" s="14">
        <v>0</v>
      </c>
      <c r="F30" s="14">
        <v>104499.4</v>
      </c>
      <c r="G30" s="14">
        <v>23015.4</v>
      </c>
      <c r="H30" s="52">
        <v>107284.3</v>
      </c>
      <c r="I30" s="52">
        <v>290214.40000000002</v>
      </c>
      <c r="J30" s="53">
        <v>-213388.5</v>
      </c>
      <c r="K30" s="14">
        <v>-21460.2</v>
      </c>
      <c r="L30" s="14">
        <f t="shared" si="6"/>
        <v>290164.8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9"/>
        <v>862804.82499999984</v>
      </c>
      <c r="R30" s="14">
        <f t="shared" si="7"/>
        <v>1152969.6249999998</v>
      </c>
      <c r="S30" s="14">
        <f t="shared" si="8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5"/>
        <v>229327.69999999984</v>
      </c>
      <c r="E31" s="14">
        <v>0</v>
      </c>
      <c r="F31" s="14">
        <v>109019.90000000001</v>
      </c>
      <c r="G31" s="14">
        <v>19116.100000000002</v>
      </c>
      <c r="H31" s="52">
        <v>107284.3</v>
      </c>
      <c r="I31" s="52">
        <v>289290</v>
      </c>
      <c r="J31" s="53">
        <v>-227281.60000000003</v>
      </c>
      <c r="K31" s="14">
        <v>-23790.1</v>
      </c>
      <c r="L31" s="14">
        <f t="shared" si="6"/>
        <v>273638.60000000003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9"/>
        <v>850544.80000000016</v>
      </c>
      <c r="R31" s="14">
        <f t="shared" si="7"/>
        <v>1124183.4000000001</v>
      </c>
      <c r="S31" s="14">
        <f t="shared" si="8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5"/>
        <v>210519.75000000006</v>
      </c>
      <c r="E32" s="14">
        <v>8513</v>
      </c>
      <c r="F32" s="14">
        <v>108771.9</v>
      </c>
      <c r="G32" s="14">
        <v>13842.4</v>
      </c>
      <c r="H32" s="52">
        <v>107284.3</v>
      </c>
      <c r="I32" s="52">
        <v>288673.7</v>
      </c>
      <c r="J32" s="53">
        <v>-226523.22500000001</v>
      </c>
      <c r="K32" s="14">
        <v>-17505.000000000004</v>
      </c>
      <c r="L32" s="14">
        <f t="shared" si="6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9"/>
        <v>850785.07499999995</v>
      </c>
      <c r="R32" s="14">
        <f t="shared" si="7"/>
        <v>1133842.1499999999</v>
      </c>
      <c r="S32" s="14">
        <f t="shared" si="8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5"/>
        <v>184344.50000000017</v>
      </c>
      <c r="E33" s="14">
        <v>39309.599999999999</v>
      </c>
      <c r="F33" s="14">
        <v>134209.09999999998</v>
      </c>
      <c r="G33" s="14">
        <v>19679.199999999997</v>
      </c>
      <c r="H33" s="52">
        <v>107284.3</v>
      </c>
      <c r="I33" s="52">
        <v>287441.19999999995</v>
      </c>
      <c r="J33" s="53">
        <v>-210802.15000000002</v>
      </c>
      <c r="K33" s="14">
        <v>-17287.8</v>
      </c>
      <c r="L33" s="14">
        <f t="shared" si="6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9"/>
        <v>884416.15</v>
      </c>
      <c r="R33" s="14">
        <f t="shared" si="7"/>
        <v>1244249.5999999999</v>
      </c>
      <c r="S33" s="14">
        <f t="shared" si="8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5"/>
        <v>212521.95</v>
      </c>
      <c r="E34" s="14">
        <v>27300.1</v>
      </c>
      <c r="F34" s="14">
        <v>151516.40000000002</v>
      </c>
      <c r="G34" s="14">
        <v>23222.549999999996</v>
      </c>
      <c r="H34" s="52">
        <v>107284.3</v>
      </c>
      <c r="I34" s="52">
        <v>286825</v>
      </c>
      <c r="J34" s="53">
        <v>-278674.73611111112</v>
      </c>
      <c r="K34" s="14">
        <v>-25072.2</v>
      </c>
      <c r="L34" s="14">
        <f t="shared" si="6"/>
        <v>292401.41388888896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9"/>
        <v>908758.68611111108</v>
      </c>
      <c r="R34" s="14">
        <f t="shared" si="7"/>
        <v>1201160.1000000001</v>
      </c>
      <c r="S34" s="14">
        <f t="shared" si="8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5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6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9"/>
        <v>938162.1</v>
      </c>
      <c r="R35" s="14">
        <f t="shared" si="7"/>
        <v>1320491.4000000001</v>
      </c>
      <c r="S35" s="14">
        <f t="shared" si="8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ref="D36:D39" si="10">SUM(B36:C36)</f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6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9"/>
        <v>925639.8</v>
      </c>
      <c r="R36" s="14">
        <f t="shared" si="7"/>
        <v>1269286.1500000001</v>
      </c>
      <c r="S36" s="14">
        <f t="shared" si="8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10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6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9"/>
        <v>949388.49999999977</v>
      </c>
      <c r="R37" s="14">
        <f t="shared" si="7"/>
        <v>1412956.4999999998</v>
      </c>
      <c r="S37" s="14">
        <f t="shared" si="8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10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6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9"/>
        <v>965238.48333333316</v>
      </c>
      <c r="R38" s="14">
        <f t="shared" si="7"/>
        <v>1531163.7333333332</v>
      </c>
      <c r="S38" s="14">
        <f t="shared" si="8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10"/>
        <v>-76201.300000000047</v>
      </c>
      <c r="E39" s="14">
        <v>273246</v>
      </c>
      <c r="F39" s="14">
        <v>254809.2</v>
      </c>
      <c r="G39" s="14">
        <v>50077.5</v>
      </c>
      <c r="H39" s="52">
        <v>90564.7</v>
      </c>
      <c r="I39" s="52">
        <v>277913.90000000002</v>
      </c>
      <c r="J39" s="53">
        <v>-234475</v>
      </c>
      <c r="K39" s="14">
        <v>-26275.999999999996</v>
      </c>
      <c r="L39" s="14">
        <f t="shared" si="6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9"/>
        <v>901609.6</v>
      </c>
      <c r="R39" s="14">
        <f t="shared" si="7"/>
        <v>1587469.9</v>
      </c>
      <c r="S39" s="14">
        <f t="shared" si="8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2" si="11">SUM(B40:C40)</f>
        <v>-161355.00000000012</v>
      </c>
      <c r="E40" s="14">
        <v>273246</v>
      </c>
      <c r="F40" s="14">
        <v>296894.8</v>
      </c>
      <c r="G40" s="14">
        <v>49414.350000000006</v>
      </c>
      <c r="H40" s="52">
        <v>86384.8</v>
      </c>
      <c r="I40" s="52">
        <v>275994.3</v>
      </c>
      <c r="J40" s="53">
        <v>-233113.17500000002</v>
      </c>
      <c r="K40" s="14">
        <v>-25784.100000000002</v>
      </c>
      <c r="L40" s="14">
        <f t="shared" si="6"/>
        <v>723036.97499999998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9"/>
        <v>921252.42500000005</v>
      </c>
      <c r="R40" s="14">
        <f t="shared" si="7"/>
        <v>1644289.4</v>
      </c>
      <c r="S40" s="14">
        <f t="shared" si="8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11"/>
        <v>-166217.90000000002</v>
      </c>
      <c r="E41" s="14">
        <v>19504.700000000012</v>
      </c>
      <c r="F41" s="14">
        <v>348742.9</v>
      </c>
      <c r="G41" s="14">
        <v>53100.100000000006</v>
      </c>
      <c r="H41" s="52">
        <v>83598.2</v>
      </c>
      <c r="I41" s="52">
        <v>547320.69999999995</v>
      </c>
      <c r="J41" s="53">
        <v>-224057.05000000005</v>
      </c>
      <c r="K41" s="14">
        <v>-41471.800000000003</v>
      </c>
      <c r="L41" s="14">
        <f t="shared" ref="L41:L49" si="12">SUM( (E41:K41))</f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50" si="13">SUM(M41:P41)</f>
        <v>957313.64999999991</v>
      </c>
      <c r="R41" s="14">
        <f t="shared" ref="R41:R50" si="14">SUM(L41,Q41)</f>
        <v>1744051.4</v>
      </c>
      <c r="S41" s="14">
        <f t="shared" ref="S41:S50" si="15">SUM(D41,R41)</f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11"/>
        <v>-192776.99999999994</v>
      </c>
      <c r="E42" s="14">
        <v>18972.7</v>
      </c>
      <c r="F42" s="14">
        <v>390238.4</v>
      </c>
      <c r="G42" s="14">
        <v>46886.099999999991</v>
      </c>
      <c r="H42" s="52">
        <v>79418.3</v>
      </c>
      <c r="I42" s="52">
        <v>546041</v>
      </c>
      <c r="J42" s="53">
        <v>-221846.875</v>
      </c>
      <c r="K42" s="14">
        <v>-34600.5</v>
      </c>
      <c r="L42" s="14">
        <f t="shared" si="12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13"/>
        <v>978332.875</v>
      </c>
      <c r="R42" s="14">
        <f t="shared" si="14"/>
        <v>1803442</v>
      </c>
      <c r="S42" s="14">
        <f t="shared" si="15"/>
        <v>1610665</v>
      </c>
    </row>
    <row r="43" spans="1:19" s="51" customFormat="1">
      <c r="A43" s="15">
        <v>42705</v>
      </c>
      <c r="B43" s="14">
        <v>294830.59999999998</v>
      </c>
      <c r="C43" s="14">
        <v>-476641.10000000003</v>
      </c>
      <c r="D43" s="14">
        <f>SUM(B43:C43)</f>
        <v>-181810.50000000006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12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13"/>
        <v>987480.9</v>
      </c>
      <c r="R43" s="14">
        <f t="shared" si="14"/>
        <v>1891284.1</v>
      </c>
      <c r="S43" s="14">
        <f t="shared" si="15"/>
        <v>1709473.6</v>
      </c>
    </row>
    <row r="44" spans="1:19" s="51" customFormat="1">
      <c r="A44" s="15">
        <v>42825</v>
      </c>
      <c r="B44" s="14">
        <v>316265.5</v>
      </c>
      <c r="C44" s="14">
        <v>-486183.10000000003</v>
      </c>
      <c r="D44" s="14">
        <f t="shared" ref="D44:D45" si="16">SUM(B44:C44)</f>
        <v>-169917.60000000003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si="12"/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13"/>
        <v>939571.9</v>
      </c>
      <c r="R44" s="14">
        <f t="shared" si="14"/>
        <v>1922712.7999999998</v>
      </c>
      <c r="S44" s="14">
        <f t="shared" si="15"/>
        <v>1752795.1999999997</v>
      </c>
    </row>
    <row r="45" spans="1:19" s="51" customFormat="1">
      <c r="A45" s="15">
        <v>42916</v>
      </c>
      <c r="B45" s="14">
        <v>357696.40000000008</v>
      </c>
      <c r="C45" s="14">
        <v>-518289.2</v>
      </c>
      <c r="D45" s="14">
        <f t="shared" si="16"/>
        <v>-160592.79999999993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12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13"/>
        <v>1002539.9</v>
      </c>
      <c r="R45" s="14">
        <f t="shared" si="14"/>
        <v>2022047.2000000002</v>
      </c>
      <c r="S45" s="14">
        <f t="shared" si="15"/>
        <v>1861454.4000000004</v>
      </c>
    </row>
    <row r="46" spans="1:19" s="51" customFormat="1">
      <c r="A46" s="15">
        <v>43008</v>
      </c>
      <c r="B46" s="14">
        <v>343989.99999999994</v>
      </c>
      <c r="C46" s="14">
        <v>-528233.5</v>
      </c>
      <c r="D46" s="14">
        <f>SUM(B46:C46)</f>
        <v>-184243.50000000006</v>
      </c>
      <c r="E46" s="14">
        <v>112382.3</v>
      </c>
      <c r="F46" s="14">
        <v>563258.5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12"/>
        <v>1045044.75</v>
      </c>
      <c r="M46" s="14">
        <v>29740.9</v>
      </c>
      <c r="N46" s="14">
        <v>1023789.6999999998</v>
      </c>
      <c r="O46" s="54">
        <v>56.1</v>
      </c>
      <c r="P46" s="54">
        <v>5451.8000000000011</v>
      </c>
      <c r="Q46" s="14">
        <f t="shared" si="13"/>
        <v>1059038.5</v>
      </c>
      <c r="R46" s="14">
        <f t="shared" si="14"/>
        <v>2104083.25</v>
      </c>
      <c r="S46" s="14">
        <f t="shared" si="15"/>
        <v>1919839.75</v>
      </c>
    </row>
    <row r="47" spans="1:19" s="51" customFormat="1">
      <c r="A47" s="15">
        <v>43100</v>
      </c>
      <c r="B47" s="14">
        <v>344923.90000000008</v>
      </c>
      <c r="C47" s="14">
        <v>-504972.79999999999</v>
      </c>
      <c r="D47" s="14">
        <f>SUM(B47:C47)</f>
        <v>-160048.89999999991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-305499.30000000005</v>
      </c>
      <c r="K47" s="14">
        <v>-49349</v>
      </c>
      <c r="L47" s="14">
        <f t="shared" si="12"/>
        <v>1123081.5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13"/>
        <v>1026681.2000000001</v>
      </c>
      <c r="R47" s="14">
        <f t="shared" si="14"/>
        <v>2149762.7000000002</v>
      </c>
      <c r="S47" s="14">
        <f t="shared" si="15"/>
        <v>1989713.8000000003</v>
      </c>
    </row>
    <row r="48" spans="1:19" s="51" customFormat="1">
      <c r="A48" s="15">
        <v>43190</v>
      </c>
      <c r="B48" s="14">
        <v>327781.59999999998</v>
      </c>
      <c r="C48" s="14">
        <v>-499025.2</v>
      </c>
      <c r="D48" s="14">
        <f t="shared" ref="D48:D49" si="17">SUM(B48:C48)</f>
        <v>-171243.60000000003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si="12"/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si="13"/>
        <v>1048425.5999999999</v>
      </c>
      <c r="R48" s="14">
        <f t="shared" si="14"/>
        <v>2204973.7000000002</v>
      </c>
      <c r="S48" s="14">
        <f t="shared" si="15"/>
        <v>2033730.1</v>
      </c>
    </row>
    <row r="49" spans="1:19" s="51" customFormat="1">
      <c r="A49" s="15">
        <v>43281</v>
      </c>
      <c r="B49" s="14">
        <v>326312.10000000003</v>
      </c>
      <c r="C49" s="14">
        <v>-528416.19999999995</v>
      </c>
      <c r="D49" s="14">
        <f t="shared" si="17"/>
        <v>-202104.09999999992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14"/>
        <v>2318484.7999999998</v>
      </c>
      <c r="S49" s="14">
        <f t="shared" si="15"/>
        <v>2116380.6999999997</v>
      </c>
    </row>
    <row r="50" spans="1:19" s="51" customFormat="1">
      <c r="A50" s="15">
        <v>43373</v>
      </c>
      <c r="B50" s="14">
        <v>274623.59999999992</v>
      </c>
      <c r="C50" s="14">
        <v>-492711.29999999993</v>
      </c>
      <c r="D50" s="14">
        <f>SUM(B50:C50)</f>
        <v>-218087.7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14"/>
        <v>2439708.4000000004</v>
      </c>
      <c r="S50" s="14">
        <f t="shared" si="15"/>
        <v>2221620.7000000002</v>
      </c>
    </row>
    <row r="51" spans="1:19" s="51" customFormat="1">
      <c r="A51" s="15">
        <v>43465</v>
      </c>
      <c r="B51" s="14">
        <v>296065.40000000002</v>
      </c>
      <c r="C51" s="14">
        <v>-499709.5</v>
      </c>
      <c r="D51" s="14">
        <f>SUM(B51:C51)</f>
        <v>-203644.09999999998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>SUM(M51:P51)</f>
        <v>1197377.6000000003</v>
      </c>
      <c r="R51" s="14">
        <f>SUM(L51,Q51)</f>
        <v>2547686.4000000004</v>
      </c>
      <c r="S51" s="14">
        <f>SUM(D51,R51)</f>
        <v>2344042.3000000003</v>
      </c>
    </row>
    <row r="52" spans="1:19" s="51" customFormat="1">
      <c r="A52" s="15">
        <v>43555</v>
      </c>
      <c r="B52" s="14">
        <v>273574.69999999995</v>
      </c>
      <c r="C52" s="14">
        <v>-507580.80000000005</v>
      </c>
      <c r="D52" s="14">
        <f t="shared" ref="D52:D60" si="18">SUM(B52:C52)</f>
        <v>-234006.10000000009</v>
      </c>
      <c r="E52" s="14">
        <v>221728.4</v>
      </c>
      <c r="F52" s="14">
        <v>1051834.5</v>
      </c>
      <c r="G52" s="14">
        <v>70811.600000000006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4" si="19">SUM( (E52:K52))</f>
        <v>1421730.8999999997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20">SUM(M52:P52)</f>
        <v>1219143.9000000001</v>
      </c>
      <c r="R52" s="14">
        <f t="shared" ref="R52:R54" si="21">SUM(L52,Q52)</f>
        <v>2640874.7999999998</v>
      </c>
      <c r="S52" s="14">
        <f t="shared" ref="S52:S60" si="22">SUM(D52,R52)</f>
        <v>2406868.6999999997</v>
      </c>
    </row>
    <row r="53" spans="1:19" s="51" customFormat="1">
      <c r="A53" s="15">
        <v>43646</v>
      </c>
      <c r="B53" s="14">
        <v>311117.90000000002</v>
      </c>
      <c r="C53" s="14">
        <v>-514036.9</v>
      </c>
      <c r="D53" s="14">
        <f t="shared" si="18"/>
        <v>-202919</v>
      </c>
      <c r="E53" s="14">
        <v>216009.2</v>
      </c>
      <c r="F53" s="14">
        <v>1164452.5</v>
      </c>
      <c r="G53" s="14">
        <v>61632.200000000004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9"/>
        <v>1491230.9000000001</v>
      </c>
      <c r="M53" s="14">
        <v>24181</v>
      </c>
      <c r="N53" s="14">
        <v>1239614.0000000002</v>
      </c>
      <c r="O53" s="54">
        <v>6546.1</v>
      </c>
      <c r="P53" s="54">
        <v>12234.1</v>
      </c>
      <c r="Q53" s="14">
        <f t="shared" si="20"/>
        <v>1282575.2000000004</v>
      </c>
      <c r="R53" s="14">
        <f t="shared" si="21"/>
        <v>2773806.1000000006</v>
      </c>
      <c r="S53" s="14">
        <f t="shared" si="22"/>
        <v>2570887.1000000006</v>
      </c>
    </row>
    <row r="54" spans="1:19" s="51" customFormat="1" ht="18">
      <c r="A54" s="15" t="s">
        <v>69</v>
      </c>
      <c r="B54" s="14">
        <v>298513</v>
      </c>
      <c r="C54" s="14">
        <v>-533829</v>
      </c>
      <c r="D54" s="14">
        <f t="shared" si="18"/>
        <v>-235316</v>
      </c>
      <c r="E54" s="14">
        <v>0</v>
      </c>
      <c r="F54" s="14">
        <v>1264668.5</v>
      </c>
      <c r="G54" s="14">
        <v>69187.5</v>
      </c>
      <c r="H54" s="52">
        <v>29259.4</v>
      </c>
      <c r="I54" s="52">
        <v>727629.7</v>
      </c>
      <c r="J54" s="53">
        <v>-485335.70000000007</v>
      </c>
      <c r="K54" s="14">
        <v>-82107.899999999994</v>
      </c>
      <c r="L54" s="14">
        <f t="shared" si="19"/>
        <v>1523301.5</v>
      </c>
      <c r="M54" s="14">
        <v>25629.699999999997</v>
      </c>
      <c r="N54" s="14">
        <v>1319726.5</v>
      </c>
      <c r="O54" s="54">
        <v>6686.4</v>
      </c>
      <c r="P54" s="54">
        <v>12381.5</v>
      </c>
      <c r="Q54" s="14">
        <f t="shared" si="20"/>
        <v>1364424.0999999999</v>
      </c>
      <c r="R54" s="14">
        <f t="shared" si="21"/>
        <v>2887725.5999999996</v>
      </c>
      <c r="S54" s="14">
        <f t="shared" si="22"/>
        <v>2652409.5999999996</v>
      </c>
    </row>
    <row r="55" spans="1:19" s="51" customFormat="1" ht="18">
      <c r="A55" s="15" t="s">
        <v>71</v>
      </c>
      <c r="B55" s="14">
        <v>388061.1999999999</v>
      </c>
      <c r="C55" s="14">
        <v>-603082.79999999981</v>
      </c>
      <c r="D55" s="14">
        <f t="shared" si="18"/>
        <v>-215021.59999999992</v>
      </c>
      <c r="E55" s="14">
        <v>0</v>
      </c>
      <c r="F55" s="14">
        <v>1373091.0000000002</v>
      </c>
      <c r="G55" s="14">
        <v>75978.7</v>
      </c>
      <c r="H55" s="52">
        <v>23686.2</v>
      </c>
      <c r="I55" s="52">
        <v>722793.2</v>
      </c>
      <c r="J55" s="53">
        <v>-450878.30000000005</v>
      </c>
      <c r="K55" s="14">
        <v>-95938.200000000012</v>
      </c>
      <c r="L55" s="14">
        <f t="shared" ref="L55" si="23">SUM( (E55:K55))</f>
        <v>1648732.6</v>
      </c>
      <c r="M55" s="14">
        <v>42179.299999999988</v>
      </c>
      <c r="N55" s="14">
        <v>1340807.0000000002</v>
      </c>
      <c r="O55" s="54">
        <v>458.5</v>
      </c>
      <c r="P55" s="54">
        <v>13691.699999999999</v>
      </c>
      <c r="Q55" s="14">
        <f>SUM(M55:P55)</f>
        <v>1397136.5000000002</v>
      </c>
      <c r="R55" s="14">
        <f>SUM(L55,Q55)</f>
        <v>3045869.1000000006</v>
      </c>
      <c r="S55" s="14">
        <f t="shared" si="22"/>
        <v>2830847.5000000005</v>
      </c>
    </row>
    <row r="56" spans="1:19" s="51" customFormat="1" ht="18">
      <c r="A56" s="15" t="s">
        <v>75</v>
      </c>
      <c r="B56" s="14">
        <v>346877</v>
      </c>
      <c r="C56" s="14">
        <v>-636787.1</v>
      </c>
      <c r="D56" s="14">
        <f t="shared" si="18"/>
        <v>-289910.09999999998</v>
      </c>
      <c r="E56" s="14">
        <v>0</v>
      </c>
      <c r="F56" s="14">
        <f>0+0+0+51183+1270664.1+59841.5+17453.8+3073.8+14308.4</f>
        <v>1416524.6</v>
      </c>
      <c r="G56" s="14">
        <f>18507.3+106337.4+0+0</f>
        <v>124844.7</v>
      </c>
      <c r="H56" s="52">
        <v>19506.2</v>
      </c>
      <c r="I56" s="52">
        <v>719165.8</v>
      </c>
      <c r="J56" s="53">
        <v>-510394.5</v>
      </c>
      <c r="K56" s="14">
        <v>-77027.199999999997</v>
      </c>
      <c r="L56" s="14">
        <f t="shared" ref="L56:L57" si="24">SUM( (E56:K56))</f>
        <v>1692619.5999999999</v>
      </c>
      <c r="M56" s="14">
        <f>32139.3+101.6</f>
        <v>32240.899999999998</v>
      </c>
      <c r="N56" s="14">
        <f>1342009.3+66164.2-157.9-0-0-14108.7</f>
        <v>1393906.9000000001</v>
      </c>
      <c r="O56" s="54">
        <v>342.2</v>
      </c>
      <c r="P56" s="54">
        <f>157.9+0+0+14108.7</f>
        <v>14266.6</v>
      </c>
      <c r="Q56" s="14">
        <f t="shared" ref="Q56:Q60" si="25">SUM(M56:P56)</f>
        <v>1440756.6</v>
      </c>
      <c r="R56" s="14">
        <f t="shared" ref="R56:R60" si="26">SUM(L56,Q56)</f>
        <v>3133376.2</v>
      </c>
      <c r="S56" s="14">
        <f t="shared" si="22"/>
        <v>2843466.1</v>
      </c>
    </row>
    <row r="57" spans="1:19" s="51" customFormat="1" ht="18">
      <c r="A57" s="15" t="s">
        <v>80</v>
      </c>
      <c r="B57" s="14">
        <v>309848.40000000002</v>
      </c>
      <c r="C57" s="14">
        <v>-647711.69999999995</v>
      </c>
      <c r="D57" s="14">
        <f t="shared" si="18"/>
        <v>-337863.29999999993</v>
      </c>
      <c r="E57" s="14">
        <v>0</v>
      </c>
      <c r="F57" s="14">
        <f>0+0+0+59283+1350702.5+59204.6+19642.3+3152.5+14708.5</f>
        <v>1506693.4000000001</v>
      </c>
      <c r="G57" s="14">
        <f>18507.3+101272.9+0+21.1+5357.5</f>
        <v>125158.8</v>
      </c>
      <c r="H57" s="52">
        <v>15326.3</v>
      </c>
      <c r="I57" s="52">
        <v>715538.4</v>
      </c>
      <c r="J57" s="53">
        <v>-447147.39999999991</v>
      </c>
      <c r="K57" s="14">
        <v>-86594.1</v>
      </c>
      <c r="L57" s="14">
        <f t="shared" si="24"/>
        <v>1828975.4000000004</v>
      </c>
      <c r="M57" s="14">
        <f>29577.4+101.6</f>
        <v>29679</v>
      </c>
      <c r="N57" s="14">
        <f>1426210.1+65000.9-157.9-0-0-13851.3</f>
        <v>1477201.8</v>
      </c>
      <c r="O57" s="54">
        <v>328.2</v>
      </c>
      <c r="P57" s="54">
        <f t="shared" ref="P57:P58" si="27">157.9+0+0+13851.3</f>
        <v>14009.199999999999</v>
      </c>
      <c r="Q57" s="14">
        <f t="shared" si="25"/>
        <v>1521218.2</v>
      </c>
      <c r="R57" s="14">
        <f t="shared" si="26"/>
        <v>3350193.6000000006</v>
      </c>
      <c r="S57" s="14">
        <f t="shared" si="22"/>
        <v>3012330.3000000007</v>
      </c>
    </row>
    <row r="58" spans="1:19" s="51" customFormat="1" ht="18">
      <c r="A58" s="15" t="s">
        <v>83</v>
      </c>
      <c r="B58" s="14">
        <v>371271.69999999995</v>
      </c>
      <c r="C58" s="14">
        <v>-655993.29999999993</v>
      </c>
      <c r="D58" s="14">
        <f t="shared" si="18"/>
        <v>-284721.59999999998</v>
      </c>
      <c r="E58" s="14">
        <v>0</v>
      </c>
      <c r="F58" s="14">
        <v>1576945.4000000001</v>
      </c>
      <c r="G58" s="14">
        <f>18507.3+127767.4+42.1+25822.8+150000</f>
        <v>322139.59999999998</v>
      </c>
      <c r="H58" s="52">
        <v>12539.7</v>
      </c>
      <c r="I58" s="52">
        <v>713120.2</v>
      </c>
      <c r="J58" s="53">
        <v>-491189.80000000005</v>
      </c>
      <c r="K58" s="14">
        <v>-76753.3</v>
      </c>
      <c r="L58" s="14">
        <f t="shared" ref="L58:L60" si="28">SUM( (E58:K58))</f>
        <v>2056801.7999999996</v>
      </c>
      <c r="M58" s="14">
        <v>30729.4</v>
      </c>
      <c r="N58" s="14">
        <v>1561214.0999999999</v>
      </c>
      <c r="O58" s="54">
        <v>311</v>
      </c>
      <c r="P58" s="54">
        <f t="shared" si="27"/>
        <v>14009.199999999999</v>
      </c>
      <c r="Q58" s="14">
        <f t="shared" si="25"/>
        <v>1606263.6999999997</v>
      </c>
      <c r="R58" s="14">
        <f t="shared" si="26"/>
        <v>3663065.4999999991</v>
      </c>
      <c r="S58" s="14">
        <f t="shared" si="22"/>
        <v>3378343.899999999</v>
      </c>
    </row>
    <row r="59" spans="1:19" s="51" customFormat="1" ht="18">
      <c r="A59" s="15" t="s">
        <v>87</v>
      </c>
      <c r="B59" s="14">
        <v>455194.7</v>
      </c>
      <c r="C59" s="14">
        <v>-664793.79999999993</v>
      </c>
      <c r="D59" s="14">
        <f t="shared" si="18"/>
        <v>-209599.09999999992</v>
      </c>
      <c r="E59" s="14">
        <v>0</v>
      </c>
      <c r="F59" s="14">
        <f>0+0+0+99484+1447869.6+66814+19642.3+3186.1+14432.8</f>
        <v>1651428.8000000003</v>
      </c>
      <c r="G59" s="14">
        <f>18507.3+123568.6+63.2+27463+150000+2000</f>
        <v>321602.09999999998</v>
      </c>
      <c r="H59" s="52">
        <v>6921.2</v>
      </c>
      <c r="I59" s="52">
        <v>708283.6</v>
      </c>
      <c r="J59" s="53">
        <v>-555022.21651699999</v>
      </c>
      <c r="K59" s="14">
        <v>-72918.899999999994</v>
      </c>
      <c r="L59" s="14">
        <f t="shared" si="28"/>
        <v>2060294.5834830003</v>
      </c>
      <c r="M59" s="14">
        <f>22344.7+101.6</f>
        <v>22446.3</v>
      </c>
      <c r="N59" s="14">
        <f>1567588.1+79297.3-157.9-0-0-13851.3</f>
        <v>1632876.2000000002</v>
      </c>
      <c r="O59" s="54">
        <v>1185.1999999999998</v>
      </c>
      <c r="P59" s="54">
        <f>157.9+0+0+13851.3</f>
        <v>14009.199999999999</v>
      </c>
      <c r="Q59" s="14">
        <f t="shared" si="25"/>
        <v>1670516.9000000001</v>
      </c>
      <c r="R59" s="14">
        <f t="shared" si="26"/>
        <v>3730811.4834830007</v>
      </c>
      <c r="S59" s="14">
        <f t="shared" si="22"/>
        <v>3521212.3834830006</v>
      </c>
    </row>
    <row r="60" spans="1:19" s="51" customFormat="1" ht="18">
      <c r="A60" s="15" t="s">
        <v>92</v>
      </c>
      <c r="B60" s="14">
        <v>431468.70000000007</v>
      </c>
      <c r="C60" s="14">
        <v>-663840.39999999991</v>
      </c>
      <c r="D60" s="14">
        <f t="shared" si="18"/>
        <v>-232371.69999999984</v>
      </c>
      <c r="E60" s="14">
        <v>0</v>
      </c>
      <c r="F60" s="14">
        <f>0+0+126464+1443480.7+78836.6+19642.3+2063.1+14299.2</f>
        <v>1684785.9000000001</v>
      </c>
      <c r="G60" s="14">
        <f>18507.3+145910.2+63.2+0+150000+2000+4668.9</f>
        <v>321149.60000000003</v>
      </c>
      <c r="H60" s="52">
        <v>4134.6000000000004</v>
      </c>
      <c r="I60" s="52">
        <v>703262.9</v>
      </c>
      <c r="J60" s="53">
        <v>-576523.60000000009</v>
      </c>
      <c r="K60" s="14">
        <v>-77855.7</v>
      </c>
      <c r="L60" s="14">
        <f t="shared" si="28"/>
        <v>2058953.7000000004</v>
      </c>
      <c r="M60" s="14">
        <f>24587.6+101.6</f>
        <v>24689.199999999997</v>
      </c>
      <c r="N60" s="14">
        <f>1668789.7+76918.4-157.9-0-0-13851.3</f>
        <v>1731698.9</v>
      </c>
      <c r="O60" s="54">
        <v>734.60000000000014</v>
      </c>
      <c r="P60" s="54">
        <f>157.9+0+0+13851.3</f>
        <v>14009.199999999999</v>
      </c>
      <c r="Q60" s="14">
        <f t="shared" si="25"/>
        <v>1771131.9</v>
      </c>
      <c r="R60" s="14">
        <f t="shared" si="26"/>
        <v>3830085.6000000006</v>
      </c>
      <c r="S60" s="14">
        <f t="shared" si="22"/>
        <v>3597713.9000000008</v>
      </c>
    </row>
    <row r="61" spans="1:19" s="51" customFormat="1">
      <c r="A61" s="64" t="s">
        <v>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6"/>
    </row>
    <row r="62" spans="1:19" s="51" customFormat="1">
      <c r="A62" s="67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9"/>
    </row>
    <row r="63" spans="1:19" s="17" customFormat="1">
      <c r="A63" s="3"/>
      <c r="B63" s="5"/>
      <c r="C63" s="5"/>
      <c r="D63" s="5"/>
      <c r="E63" s="5"/>
      <c r="F63" s="5"/>
      <c r="G63" s="5"/>
      <c r="H63" s="5"/>
      <c r="I63" s="5"/>
      <c r="J63" s="5"/>
      <c r="K63" s="6"/>
      <c r="L63" s="5"/>
      <c r="M63" s="5" t="s">
        <v>6</v>
      </c>
      <c r="N63" s="5"/>
      <c r="O63" s="9"/>
      <c r="P63" s="9"/>
      <c r="Q63" s="5"/>
      <c r="R63" s="5"/>
      <c r="S63" s="5"/>
    </row>
  </sheetData>
  <mergeCells count="9">
    <mergeCell ref="A61:S62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3"/>
  <sheetViews>
    <sheetView workbookViewId="0">
      <pane xSplit="1" ySplit="7" topLeftCell="R14" activePane="bottomRight" state="frozen"/>
      <selection pane="topRight" activeCell="B1" sqref="B1"/>
      <selection pane="bottomLeft" activeCell="A8" sqref="A8"/>
      <selection pane="bottomRight" activeCell="S20" sqref="S20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9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9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4" si="4">SUM(B10:C10)</f>
        <v>252700.79999999993</v>
      </c>
      <c r="E10" s="14">
        <v>19134.2</v>
      </c>
      <c r="F10" s="14">
        <v>109938.3</v>
      </c>
      <c r="G10" s="14">
        <v>14362.999999999998</v>
      </c>
      <c r="H10" s="52">
        <v>88925</v>
      </c>
      <c r="I10" s="52">
        <v>145130.9</v>
      </c>
      <c r="J10" s="53">
        <v>-154580.5</v>
      </c>
      <c r="K10" s="14">
        <v>-11748.2</v>
      </c>
      <c r="L10" s="14">
        <f t="shared" ref="L10:L17" si="5">SUM( (E10:K10))</f>
        <v>211162.7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6">SUM(L10,Q10)</f>
        <v>726774.8</v>
      </c>
      <c r="S10" s="14">
        <f t="shared" ref="S10:S17" si="7">SUM(D10,R10)</f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15025.099999999999</v>
      </c>
      <c r="H11" s="52">
        <v>94325</v>
      </c>
      <c r="I11" s="52">
        <v>141433.29999999999</v>
      </c>
      <c r="J11" s="53">
        <v>-175871.7</v>
      </c>
      <c r="K11" s="14">
        <v>-14154.1</v>
      </c>
      <c r="L11" s="14">
        <f t="shared" si="5"/>
        <v>232336.4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8">SUM(M11:P11)</f>
        <v>669978.29999999993</v>
      </c>
      <c r="R11" s="14">
        <f t="shared" si="6"/>
        <v>902314.7</v>
      </c>
      <c r="S11" s="14">
        <f t="shared" si="7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18678.699999999997</v>
      </c>
      <c r="H12" s="52">
        <v>117037.4</v>
      </c>
      <c r="I12" s="52">
        <v>137735.70000000001</v>
      </c>
      <c r="J12" s="53">
        <v>-183055</v>
      </c>
      <c r="K12" s="14">
        <v>-18296</v>
      </c>
      <c r="L12" s="14">
        <f t="shared" si="5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8"/>
        <v>763973.20000000007</v>
      </c>
      <c r="R12" s="14">
        <f t="shared" si="6"/>
        <v>1041184</v>
      </c>
      <c r="S12" s="14">
        <f t="shared" si="7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19116.100000000002</v>
      </c>
      <c r="H13" s="52">
        <v>107284.3</v>
      </c>
      <c r="I13" s="52">
        <v>289290</v>
      </c>
      <c r="J13" s="53">
        <v>-227281.60000000003</v>
      </c>
      <c r="K13" s="14">
        <v>-23790.1</v>
      </c>
      <c r="L13" s="14">
        <f t="shared" si="5"/>
        <v>273638.60000000003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8"/>
        <v>850544.80000000016</v>
      </c>
      <c r="R13" s="14">
        <f t="shared" si="6"/>
        <v>1124183.4000000001</v>
      </c>
      <c r="S13" s="14">
        <f t="shared" si="7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5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8"/>
        <v>938162.1</v>
      </c>
      <c r="R14" s="14">
        <f t="shared" si="6"/>
        <v>1320491.4000000001</v>
      </c>
      <c r="S14" s="14">
        <f t="shared" si="7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ref="D15" si="9">SUM(B15:C15)</f>
        <v>-76201.300000000047</v>
      </c>
      <c r="E15" s="14">
        <v>273246</v>
      </c>
      <c r="F15" s="14">
        <v>254809.2</v>
      </c>
      <c r="G15" s="14">
        <v>50077.5</v>
      </c>
      <c r="H15" s="52">
        <v>90564.7</v>
      </c>
      <c r="I15" s="52">
        <v>277913.90000000002</v>
      </c>
      <c r="J15" s="53">
        <v>-234475</v>
      </c>
      <c r="K15" s="14">
        <v>-26275.999999999996</v>
      </c>
      <c r="L15" s="14">
        <f t="shared" si="5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8"/>
        <v>901609.6</v>
      </c>
      <c r="R15" s="14">
        <f t="shared" si="6"/>
        <v>1587469.9</v>
      </c>
      <c r="S15" s="14">
        <f t="shared" si="7"/>
        <v>1511268.5999999999</v>
      </c>
    </row>
    <row r="16" spans="1:20" s="51" customFormat="1">
      <c r="A16" s="56">
        <v>2016</v>
      </c>
      <c r="B16" s="14">
        <v>294830.59999999998</v>
      </c>
      <c r="C16" s="14">
        <v>-476641.10000000003</v>
      </c>
      <c r="D16" s="14">
        <f>SUM(B16:C16)</f>
        <v>-181810.50000000006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5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8"/>
        <v>987480.9</v>
      </c>
      <c r="R16" s="14">
        <f t="shared" si="6"/>
        <v>1891284.1</v>
      </c>
      <c r="S16" s="14">
        <f t="shared" si="7"/>
        <v>1709473.6</v>
      </c>
    </row>
    <row r="17" spans="1:19" s="51" customFormat="1">
      <c r="A17" s="56">
        <v>2017</v>
      </c>
      <c r="B17" s="14">
        <v>344923.90000000008</v>
      </c>
      <c r="C17" s="14">
        <v>-504972.79999999999</v>
      </c>
      <c r="D17" s="14">
        <f>SUM(B17:C17)</f>
        <v>-160048.89999999991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-305499.30000000005</v>
      </c>
      <c r="K17" s="14">
        <v>-49349</v>
      </c>
      <c r="L17" s="14">
        <f t="shared" si="5"/>
        <v>1123081.5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8"/>
        <v>1026681.2000000001</v>
      </c>
      <c r="R17" s="14">
        <f t="shared" si="6"/>
        <v>2149762.7000000002</v>
      </c>
      <c r="S17" s="14">
        <f t="shared" si="7"/>
        <v>1989713.8000000003</v>
      </c>
    </row>
    <row r="18" spans="1:19" s="51" customFormat="1">
      <c r="A18" s="56">
        <v>2018</v>
      </c>
      <c r="B18" s="14">
        <v>296065.40000000002</v>
      </c>
      <c r="C18" s="14">
        <v>-499709.5</v>
      </c>
      <c r="D18" s="14">
        <f>SUM(B18:C18)</f>
        <v>-203644.09999999998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>SUM(M18:P18)</f>
        <v>1197377.6000000003</v>
      </c>
      <c r="R18" s="14">
        <f>SUM(L18,Q18)</f>
        <v>2547686.4000000004</v>
      </c>
      <c r="S18" s="14">
        <f>SUM(D18,R18)</f>
        <v>2344042.3000000003</v>
      </c>
    </row>
    <row r="19" spans="1:19" s="51" customFormat="1" ht="18">
      <c r="A19" s="15" t="s">
        <v>72</v>
      </c>
      <c r="B19" s="14">
        <v>388061.1999999999</v>
      </c>
      <c r="C19" s="14">
        <v>-603082.79999999981</v>
      </c>
      <c r="D19" s="14">
        <f t="shared" ref="D19:D20" si="10">SUM(B19:C19)</f>
        <v>-215021.59999999992</v>
      </c>
      <c r="E19" s="14">
        <v>0</v>
      </c>
      <c r="F19" s="14">
        <v>1373091.0000000002</v>
      </c>
      <c r="G19" s="14">
        <v>75978.7</v>
      </c>
      <c r="H19" s="52">
        <v>23686.2</v>
      </c>
      <c r="I19" s="52">
        <v>722793.2</v>
      </c>
      <c r="J19" s="53">
        <v>-450878.30000000005</v>
      </c>
      <c r="K19" s="14">
        <v>-95938.200000000012</v>
      </c>
      <c r="L19" s="14">
        <f t="shared" ref="L19" si="11">SUM( (E19:K19))</f>
        <v>1648732.6</v>
      </c>
      <c r="M19" s="14">
        <v>42179.299999999988</v>
      </c>
      <c r="N19" s="14">
        <v>1340807.0000000002</v>
      </c>
      <c r="O19" s="54">
        <v>458.5</v>
      </c>
      <c r="P19" s="54">
        <v>13691.699999999999</v>
      </c>
      <c r="Q19" s="14">
        <f>SUM(M19:P19)</f>
        <v>1397136.5000000002</v>
      </c>
      <c r="R19" s="14">
        <f>SUM(L19,Q19)</f>
        <v>3045869.1000000006</v>
      </c>
      <c r="S19" s="14">
        <f t="shared" ref="S19:S20" si="12">SUM(D19,R19)</f>
        <v>2830847.5000000005</v>
      </c>
    </row>
    <row r="20" spans="1:19" s="51" customFormat="1" ht="18">
      <c r="A20" s="15" t="s">
        <v>88</v>
      </c>
      <c r="B20" s="14">
        <v>455194.7</v>
      </c>
      <c r="C20" s="14">
        <v>-664793.79999999993</v>
      </c>
      <c r="D20" s="14">
        <f t="shared" si="10"/>
        <v>-209599.09999999992</v>
      </c>
      <c r="E20" s="14">
        <v>0</v>
      </c>
      <c r="F20" s="14">
        <f>0+0+0+99484+1447869.6+66814+19642.3+3186.1+14432.8</f>
        <v>1651428.8000000003</v>
      </c>
      <c r="G20" s="14">
        <f>18507.3+123568.6+63.2+27463+150000+2000</f>
        <v>321602.09999999998</v>
      </c>
      <c r="H20" s="52">
        <v>6921.2</v>
      </c>
      <c r="I20" s="52">
        <v>708283.6</v>
      </c>
      <c r="J20" s="53">
        <v>-555022.21651699999</v>
      </c>
      <c r="K20" s="14">
        <v>-72918.899999999994</v>
      </c>
      <c r="L20" s="14">
        <f t="shared" ref="L20" si="13">SUM( (E20:K20))</f>
        <v>2060294.5834830003</v>
      </c>
      <c r="M20" s="14">
        <f>22344.7+101.6</f>
        <v>22446.3</v>
      </c>
      <c r="N20" s="14">
        <f>1567588.1+79297.3-157.9-0-0-13851.3</f>
        <v>1632876.2000000002</v>
      </c>
      <c r="O20" s="54">
        <v>1185.1999999999998</v>
      </c>
      <c r="P20" s="54">
        <f>157.9+0+0+13851.3</f>
        <v>14009.199999999999</v>
      </c>
      <c r="Q20" s="14">
        <f t="shared" ref="Q20" si="14">SUM(M20:P20)</f>
        <v>1670516.9000000001</v>
      </c>
      <c r="R20" s="14">
        <f t="shared" ref="R20" si="15">SUM(L20,Q20)</f>
        <v>3730811.4834830007</v>
      </c>
      <c r="S20" s="14">
        <f t="shared" si="12"/>
        <v>3521212.3834830006</v>
      </c>
    </row>
    <row r="21" spans="1:19" s="51" customFormat="1">
      <c r="A21" s="64" t="s">
        <v>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6"/>
    </row>
    <row r="22" spans="1:19" s="51" customForma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9"/>
    </row>
    <row r="23" spans="1:19" s="17" customFormat="1"/>
  </sheetData>
  <mergeCells count="9">
    <mergeCell ref="A21:S22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2017-03-16T06:05:39Z</cp:lastPrinted>
  <dcterms:created xsi:type="dcterms:W3CDTF">2000-09-13T06:19:58Z</dcterms:created>
  <dcterms:modified xsi:type="dcterms:W3CDTF">2021-07-09T06:25:10Z</dcterms:modified>
</cp:coreProperties>
</file>