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 tabRatio="497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76" i="3" l="1"/>
  <c r="N176" i="3"/>
  <c r="M176" i="3"/>
  <c r="Q176" i="3" s="1"/>
  <c r="G176" i="3"/>
  <c r="F176" i="3"/>
  <c r="L176" i="3" s="1"/>
  <c r="R176" i="3" s="1"/>
  <c r="S176" i="3" s="1"/>
  <c r="D176" i="3"/>
  <c r="P63" i="4" l="1"/>
  <c r="Q63" i="4" s="1"/>
  <c r="N63" i="4"/>
  <c r="M63" i="4"/>
  <c r="G63" i="4"/>
  <c r="F63" i="4"/>
  <c r="L63" i="4" s="1"/>
  <c r="D63" i="4"/>
  <c r="P62" i="4"/>
  <c r="N62" i="4"/>
  <c r="M62" i="4"/>
  <c r="Q62" i="4" s="1"/>
  <c r="L62" i="4"/>
  <c r="G62" i="4"/>
  <c r="D62" i="4"/>
  <c r="P61" i="4"/>
  <c r="N61" i="4"/>
  <c r="M61" i="4"/>
  <c r="Q61" i="4" s="1"/>
  <c r="L61" i="4"/>
  <c r="D61" i="4"/>
  <c r="P60" i="4"/>
  <c r="N60" i="4"/>
  <c r="M60" i="4"/>
  <c r="Q60" i="4" s="1"/>
  <c r="L60" i="4"/>
  <c r="R60" i="4" s="1"/>
  <c r="S60" i="4" s="1"/>
  <c r="G60" i="4"/>
  <c r="D60" i="4"/>
  <c r="P59" i="4"/>
  <c r="N59" i="4"/>
  <c r="Q59" i="4" s="1"/>
  <c r="M59" i="4"/>
  <c r="L59" i="4"/>
  <c r="G59" i="4"/>
  <c r="D59" i="4"/>
  <c r="P163" i="3"/>
  <c r="N163" i="3"/>
  <c r="Q163" i="3" s="1"/>
  <c r="M163" i="3"/>
  <c r="L163" i="3"/>
  <c r="G163" i="3"/>
  <c r="D163" i="3"/>
  <c r="P175" i="3"/>
  <c r="N175" i="3"/>
  <c r="Q175" i="3" s="1"/>
  <c r="M175" i="3"/>
  <c r="L175" i="3"/>
  <c r="G175" i="3"/>
  <c r="F175" i="3"/>
  <c r="D175" i="3"/>
  <c r="P174" i="3"/>
  <c r="N174" i="3"/>
  <c r="M174" i="3"/>
  <c r="Q174" i="3" s="1"/>
  <c r="G174" i="3"/>
  <c r="F174" i="3"/>
  <c r="L174" i="3" s="1"/>
  <c r="R174" i="3" s="1"/>
  <c r="D174" i="3"/>
  <c r="Q173" i="3"/>
  <c r="P173" i="3"/>
  <c r="N173" i="3"/>
  <c r="M173" i="3"/>
  <c r="G173" i="3"/>
  <c r="F173" i="3"/>
  <c r="L173" i="3" s="1"/>
  <c r="D173" i="3"/>
  <c r="P172" i="3"/>
  <c r="N172" i="3"/>
  <c r="Q172" i="3" s="1"/>
  <c r="M172" i="3"/>
  <c r="G172" i="3"/>
  <c r="L172" i="3" s="1"/>
  <c r="R172" i="3" s="1"/>
  <c r="S172" i="3" s="1"/>
  <c r="D172" i="3"/>
  <c r="P171" i="3"/>
  <c r="N171" i="3"/>
  <c r="Q171" i="3" s="1"/>
  <c r="M171" i="3"/>
  <c r="G171" i="3"/>
  <c r="L171" i="3" s="1"/>
  <c r="D171" i="3"/>
  <c r="P170" i="3"/>
  <c r="N170" i="3"/>
  <c r="M170" i="3"/>
  <c r="Q170" i="3" s="1"/>
  <c r="L170" i="3"/>
  <c r="R170" i="3" s="1"/>
  <c r="G170" i="3"/>
  <c r="D170" i="3"/>
  <c r="S170" i="3" s="1"/>
  <c r="P169" i="3"/>
  <c r="N169" i="3"/>
  <c r="M169" i="3"/>
  <c r="Q169" i="3" s="1"/>
  <c r="L169" i="3"/>
  <c r="D169" i="3"/>
  <c r="Q168" i="3"/>
  <c r="P168" i="3"/>
  <c r="N168" i="3"/>
  <c r="M168" i="3"/>
  <c r="G168" i="3"/>
  <c r="L168" i="3" s="1"/>
  <c r="D168" i="3"/>
  <c r="P167" i="3"/>
  <c r="N167" i="3"/>
  <c r="M167" i="3"/>
  <c r="Q167" i="3" s="1"/>
  <c r="L167" i="3"/>
  <c r="G167" i="3"/>
  <c r="D167" i="3"/>
  <c r="P166" i="3"/>
  <c r="N166" i="3"/>
  <c r="M166" i="3"/>
  <c r="Q166" i="3" s="1"/>
  <c r="G166" i="3"/>
  <c r="L166" i="3" s="1"/>
  <c r="R166" i="3" s="1"/>
  <c r="D166" i="3"/>
  <c r="S166" i="3" s="1"/>
  <c r="P165" i="3"/>
  <c r="N165" i="3"/>
  <c r="M165" i="3"/>
  <c r="Q165" i="3" s="1"/>
  <c r="G165" i="3"/>
  <c r="L165" i="3" s="1"/>
  <c r="R165" i="3" s="1"/>
  <c r="D165" i="3"/>
  <c r="S165" i="3" s="1"/>
  <c r="Q164" i="3"/>
  <c r="P164" i="3"/>
  <c r="N164" i="3"/>
  <c r="M164" i="3"/>
  <c r="G164" i="3"/>
  <c r="L164" i="3" s="1"/>
  <c r="D164" i="3"/>
  <c r="R59" i="4" l="1"/>
  <c r="S59" i="4" s="1"/>
  <c r="R62" i="4"/>
  <c r="S62" i="4" s="1"/>
  <c r="R63" i="4"/>
  <c r="S63" i="4" s="1"/>
  <c r="R61" i="4"/>
  <c r="S61" i="4" s="1"/>
  <c r="R167" i="3"/>
  <c r="S167" i="3" s="1"/>
  <c r="S174" i="3"/>
  <c r="R168" i="3"/>
  <c r="S168" i="3" s="1"/>
  <c r="R164" i="3"/>
  <c r="S164" i="3" s="1"/>
  <c r="R163" i="3"/>
  <c r="S163" i="3" s="1"/>
  <c r="R173" i="3"/>
  <c r="S173" i="3" s="1"/>
  <c r="R171" i="3"/>
  <c r="S171" i="3" s="1"/>
  <c r="R169" i="3"/>
  <c r="S169" i="3" s="1"/>
  <c r="R175" i="3"/>
  <c r="S175" i="3" s="1"/>
  <c r="P21" i="5" l="1"/>
  <c r="N21" i="5"/>
  <c r="M21" i="5"/>
  <c r="Q21" i="5" s="1"/>
  <c r="G21" i="5"/>
  <c r="F21" i="5"/>
  <c r="L21" i="5" s="1"/>
  <c r="R21" i="5" s="1"/>
  <c r="D21" i="5"/>
  <c r="P20" i="5"/>
  <c r="N20" i="5"/>
  <c r="Q20" i="5" s="1"/>
  <c r="M20" i="5"/>
  <c r="L20" i="5"/>
  <c r="G20" i="5"/>
  <c r="D20" i="5"/>
  <c r="R20" i="5" l="1"/>
  <c r="S20" i="5" s="1"/>
  <c r="S21" i="5"/>
  <c r="P58" i="4" l="1"/>
  <c r="N58" i="4"/>
  <c r="K58" i="4"/>
  <c r="G58" i="4"/>
  <c r="D58" i="4"/>
  <c r="P162" i="3"/>
  <c r="N162" i="3"/>
  <c r="K162" i="3"/>
  <c r="G162" i="3"/>
  <c r="D162" i="3"/>
  <c r="P161" i="3"/>
  <c r="N161" i="3"/>
  <c r="K161" i="3"/>
  <c r="G161" i="3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M158" i="3"/>
  <c r="K158" i="3"/>
  <c r="G158" i="3"/>
  <c r="D158" i="3"/>
  <c r="Q161" i="3" l="1"/>
  <c r="Q162" i="3"/>
  <c r="L158" i="3"/>
  <c r="L161" i="3"/>
  <c r="L58" i="4"/>
  <c r="Q58" i="4"/>
  <c r="L159" i="3"/>
  <c r="Q158" i="3"/>
  <c r="R158" i="3" s="1"/>
  <c r="S158" i="3" s="1"/>
  <c r="L160" i="3"/>
  <c r="R160" i="3" s="1"/>
  <c r="S160" i="3" s="1"/>
  <c r="L162" i="3"/>
  <c r="R162" i="3" s="1"/>
  <c r="S162" i="3" s="1"/>
  <c r="Q159" i="3"/>
  <c r="R161" i="3"/>
  <c r="S161" i="3" s="1"/>
  <c r="R58" i="4" l="1"/>
  <c r="S58" i="4" s="1"/>
  <c r="R159" i="3"/>
  <c r="S159" i="3" s="1"/>
  <c r="Q19" i="5" l="1"/>
  <c r="L19" i="5"/>
  <c r="D19" i="5"/>
  <c r="P57" i="4"/>
  <c r="Q57" i="4" s="1"/>
  <c r="G57" i="4"/>
  <c r="L57" i="4" s="1"/>
  <c r="D57" i="4"/>
  <c r="P56" i="4"/>
  <c r="Q56" i="4" s="1"/>
  <c r="G56" i="4"/>
  <c r="L56" i="4" s="1"/>
  <c r="D56" i="4"/>
  <c r="Q55" i="4"/>
  <c r="L55" i="4"/>
  <c r="D55" i="4"/>
  <c r="Q54" i="4"/>
  <c r="L54" i="4"/>
  <c r="D54" i="4"/>
  <c r="R19" i="5" l="1"/>
  <c r="S19" i="5"/>
  <c r="R57" i="4"/>
  <c r="S57" i="4" s="1"/>
  <c r="R54" i="4"/>
  <c r="S54" i="4" s="1"/>
  <c r="R55" i="4"/>
  <c r="S55" i="4" s="1"/>
  <c r="R56" i="4"/>
  <c r="S56" i="4" s="1"/>
  <c r="P157" i="3" l="1"/>
  <c r="Q157" i="3" s="1"/>
  <c r="G157" i="3"/>
  <c r="L157" i="3" s="1"/>
  <c r="D157" i="3"/>
  <c r="P156" i="3"/>
  <c r="Q156" i="3" s="1"/>
  <c r="G156" i="3"/>
  <c r="L156" i="3" s="1"/>
  <c r="D156" i="3"/>
  <c r="P155" i="3"/>
  <c r="Q155" i="3" s="1"/>
  <c r="G155" i="3"/>
  <c r="L155" i="3" s="1"/>
  <c r="D155" i="3"/>
  <c r="P154" i="3"/>
  <c r="Q154" i="3" s="1"/>
  <c r="G154" i="3"/>
  <c r="L154" i="3" s="1"/>
  <c r="D154" i="3"/>
  <c r="P153" i="3"/>
  <c r="Q153" i="3" s="1"/>
  <c r="G153" i="3"/>
  <c r="L153" i="3" s="1"/>
  <c r="R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D147" i="3"/>
  <c r="Q146" i="3"/>
  <c r="L146" i="3"/>
  <c r="R146" i="3" s="1"/>
  <c r="D146" i="3"/>
  <c r="S153" i="3" l="1"/>
  <c r="R152" i="3"/>
  <c r="S152" i="3" s="1"/>
  <c r="R149" i="3"/>
  <c r="S149" i="3" s="1"/>
  <c r="R150" i="3"/>
  <c r="S150" i="3" s="1"/>
  <c r="R148" i="3"/>
  <c r="S148" i="3" s="1"/>
  <c r="R157" i="3"/>
  <c r="S157" i="3" s="1"/>
  <c r="R147" i="3"/>
  <c r="S147" i="3" s="1"/>
  <c r="R156" i="3"/>
  <c r="S156" i="3" s="1"/>
  <c r="R154" i="3"/>
  <c r="S154" i="3" s="1"/>
  <c r="R155" i="3"/>
  <c r="S155" i="3" s="1"/>
  <c r="R151" i="3"/>
  <c r="S151" i="3" s="1"/>
  <c r="S146" i="3"/>
  <c r="Q53" i="4" l="1"/>
  <c r="L53" i="4"/>
  <c r="D53" i="4"/>
  <c r="Q52" i="4"/>
  <c r="L52" i="4"/>
  <c r="D52" i="4"/>
  <c r="R53" i="4" l="1"/>
  <c r="S53" i="4" s="1"/>
  <c r="R52" i="4"/>
  <c r="S52" i="4" s="1"/>
  <c r="Q145" i="3" l="1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4" i="3"/>
  <c r="S144" i="3" s="1"/>
  <c r="R142" i="3"/>
  <c r="S142" i="3" s="1"/>
  <c r="R145" i="3"/>
  <c r="S145" i="3" s="1"/>
  <c r="R141" i="3"/>
  <c r="S141" i="3" s="1"/>
  <c r="R143" i="3"/>
  <c r="S143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S66" i="3" s="1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l="1"/>
  <c r="S8" i="3" s="1"/>
  <c r="R18" i="3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<sst xmlns="http://schemas.openxmlformats.org/spreadsheetml/2006/main" count="219" uniqueCount="77">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</sst>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18" sqref="E18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44592</v>
      </c>
    </row>
    <row r="12" spans="2:5">
      <c r="B12" s="25" t="s">
        <v>28</v>
      </c>
      <c r="C12" s="26" t="s">
        <v>37</v>
      </c>
      <c r="D12" s="26" t="s">
        <v>28</v>
      </c>
      <c r="E12" s="28" t="s">
        <v>72</v>
      </c>
    </row>
    <row r="13" spans="2:5">
      <c r="B13" s="25" t="s">
        <v>29</v>
      </c>
      <c r="C13" s="26" t="s">
        <v>38</v>
      </c>
      <c r="D13" s="26" t="s">
        <v>29</v>
      </c>
      <c r="E13" s="27" t="s">
        <v>73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80"/>
  <sheetViews>
    <sheetView tabSelected="1" workbookViewId="0">
      <pane xSplit="1" ySplit="7" topLeftCell="B171" activePane="bottomRight" state="frozen"/>
      <selection pane="topRight" activeCell="B1" sqref="B1"/>
      <selection pane="bottomLeft" activeCell="A8" sqref="A8"/>
      <selection pane="bottomRight" activeCell="A175" sqref="A175:XFD176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ref="D140:D145" si="39">SUM(B140:C140)</f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57" si="40">SUM( (E140:K140))</f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2548631.7000000002</v>
      </c>
      <c r="S140" s="14">
        <f>SUM(D140,R140)</f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2611117.5</v>
      </c>
      <c r="S141" s="14">
        <f t="shared" ref="S141:S176" si="43">SUM(D141,R141)</f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2640874.7999999998</v>
      </c>
      <c r="S142" s="14">
        <f t="shared" si="43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2676100.1333333338</v>
      </c>
      <c r="S143" s="14">
        <f t="shared" si="43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2684234.2666666675</v>
      </c>
      <c r="S144" s="14">
        <f t="shared" si="43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2773806.1000000006</v>
      </c>
      <c r="S145" s="14">
        <f t="shared" si="43"/>
        <v>2570887.1000000006</v>
      </c>
    </row>
    <row r="146" spans="1:19" s="51" customFormat="1">
      <c r="A146" s="15">
        <v>43677</v>
      </c>
      <c r="B146" s="14">
        <v>304464.2</v>
      </c>
      <c r="C146" s="14">
        <v>-547179.29999999993</v>
      </c>
      <c r="D146" s="14">
        <f t="shared" ref="D146:D176" si="44">SUM(B146:C146)</f>
        <v>-242715.09999999992</v>
      </c>
      <c r="E146" s="14">
        <v>158917.5</v>
      </c>
      <c r="F146" s="14">
        <v>1190797.1999999997</v>
      </c>
      <c r="G146" s="14">
        <v>57551.6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1489118.3999999997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2813740.2333333334</v>
      </c>
      <c r="S146" s="14">
        <f t="shared" si="43"/>
        <v>2571025.1333333333</v>
      </c>
    </row>
    <row r="147" spans="1:19" s="51" customFormat="1">
      <c r="A147" s="15">
        <v>43708</v>
      </c>
      <c r="B147" s="14">
        <v>281923.90000000002</v>
      </c>
      <c r="C147" s="14">
        <v>-533149.49999999988</v>
      </c>
      <c r="D147" s="14">
        <f t="shared" si="44"/>
        <v>-251225.59999999986</v>
      </c>
      <c r="E147" s="14">
        <v>0</v>
      </c>
      <c r="F147" s="14">
        <v>1234004.5000000002</v>
      </c>
      <c r="G147" s="14">
        <v>61786.80000000001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1504195.0000000002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2839890.2666666671</v>
      </c>
      <c r="S147" s="14">
        <f t="shared" si="43"/>
        <v>2588664.666666667</v>
      </c>
    </row>
    <row r="148" spans="1:19" s="51" customFormat="1">
      <c r="A148" s="15">
        <v>43738</v>
      </c>
      <c r="B148" s="14">
        <v>298513</v>
      </c>
      <c r="C148" s="14">
        <v>-533829</v>
      </c>
      <c r="D148" s="14">
        <f t="shared" si="44"/>
        <v>-235316</v>
      </c>
      <c r="E148" s="14">
        <v>0</v>
      </c>
      <c r="F148" s="14">
        <v>1264668.5</v>
      </c>
      <c r="G148" s="14">
        <v>67957.899999999994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1522071.9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2886496</v>
      </c>
      <c r="S148" s="14">
        <f t="shared" si="43"/>
        <v>2651180</v>
      </c>
    </row>
    <row r="149" spans="1:19" s="51" customFormat="1">
      <c r="A149" s="15">
        <v>43769</v>
      </c>
      <c r="B149" s="14">
        <v>281183.3</v>
      </c>
      <c r="C149" s="14">
        <v>-525169.79999999993</v>
      </c>
      <c r="D149" s="14">
        <f t="shared" si="44"/>
        <v>-243986.49999999994</v>
      </c>
      <c r="E149" s="14">
        <v>0</v>
      </c>
      <c r="F149" s="14">
        <v>1305643.7</v>
      </c>
      <c r="G149" s="14">
        <v>79188.7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1537500.0999999996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2918447.8666666662</v>
      </c>
      <c r="S149" s="14">
        <f t="shared" si="43"/>
        <v>2674461.3666666662</v>
      </c>
    </row>
    <row r="150" spans="1:19" s="51" customFormat="1">
      <c r="A150" s="15">
        <v>43799</v>
      </c>
      <c r="B150" s="14">
        <v>261502.5</v>
      </c>
      <c r="C150" s="14">
        <v>-523421.4</v>
      </c>
      <c r="D150" s="14">
        <f t="shared" si="44"/>
        <v>-261918.90000000002</v>
      </c>
      <c r="E150" s="14">
        <v>0</v>
      </c>
      <c r="F150" s="14">
        <v>1341805.7</v>
      </c>
      <c r="G150" s="14">
        <v>76955.100000000006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1575430.3000000003</v>
      </c>
      <c r="M150" s="14">
        <v>25926.899999999998</v>
      </c>
      <c r="N150" s="14">
        <v>1372862.6333333331</v>
      </c>
      <c r="O150" s="54">
        <v>496</v>
      </c>
      <c r="P150" s="54">
        <v>12381.5</v>
      </c>
      <c r="Q150" s="14">
        <f>SUM(M150:P150)</f>
        <v>1411667.033333333</v>
      </c>
      <c r="R150" s="14">
        <f>SUM(L150,Q150)</f>
        <v>2987097.333333333</v>
      </c>
      <c r="S150" s="14">
        <f t="shared" si="43"/>
        <v>2725178.4333333331</v>
      </c>
    </row>
    <row r="151" spans="1:19" s="51" customFormat="1">
      <c r="A151" s="15">
        <v>43830</v>
      </c>
      <c r="B151" s="14">
        <v>388061.1999999999</v>
      </c>
      <c r="C151" s="14">
        <v>-603082.79999999981</v>
      </c>
      <c r="D151" s="14">
        <f t="shared" si="44"/>
        <v>-215021.59999999992</v>
      </c>
      <c r="E151" s="14">
        <v>0</v>
      </c>
      <c r="F151" s="14">
        <v>1372987.2000000002</v>
      </c>
      <c r="G151" s="14">
        <v>73541.599999999991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si="40"/>
        <v>1646191.7000000002</v>
      </c>
      <c r="M151" s="14">
        <v>42179.299999999988</v>
      </c>
      <c r="N151" s="14">
        <v>1340910.8000000003</v>
      </c>
      <c r="O151" s="54">
        <v>458.5</v>
      </c>
      <c r="P151" s="54">
        <v>13691.699999999999</v>
      </c>
      <c r="Q151" s="14">
        <f>SUM(M151:P151)</f>
        <v>1397240.3000000003</v>
      </c>
      <c r="R151" s="14">
        <f>SUM(L151,Q151)</f>
        <v>3043432.0000000005</v>
      </c>
      <c r="S151" s="14">
        <f t="shared" si="43"/>
        <v>2828410.4000000004</v>
      </c>
    </row>
    <row r="152" spans="1:19" s="51" customFormat="1">
      <c r="A152" s="15">
        <v>43861</v>
      </c>
      <c r="B152" s="14">
        <v>336863.6</v>
      </c>
      <c r="C152" s="14">
        <v>-662873</v>
      </c>
      <c r="D152" s="14">
        <f t="shared" si="44"/>
        <v>-326009.40000000002</v>
      </c>
      <c r="E152" s="14">
        <v>0</v>
      </c>
      <c r="F152" s="14">
        <v>1411099.7000000002</v>
      </c>
      <c r="G152" s="14">
        <f>18559.5+104859.1+50.8+0</f>
        <v>123469.40000000001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si="40"/>
        <v>1729295.0000000002</v>
      </c>
      <c r="M152" s="14">
        <v>37522.499999999993</v>
      </c>
      <c r="N152" s="14">
        <v>1372347.4666666668</v>
      </c>
      <c r="O152" s="54">
        <v>370.8</v>
      </c>
      <c r="P152" s="54">
        <f>157.9+0+0+13533.8</f>
        <v>13691.699999999999</v>
      </c>
      <c r="Q152" s="14">
        <f t="shared" ref="Q152:Q176" si="45">SUM(M152:P152)</f>
        <v>1423932.4666666668</v>
      </c>
      <c r="R152" s="14">
        <f t="shared" ref="R152:R176" si="46">SUM(L152,Q152)</f>
        <v>3153227.4666666668</v>
      </c>
      <c r="S152" s="14">
        <f t="shared" si="43"/>
        <v>2827218.0666666669</v>
      </c>
    </row>
    <row r="153" spans="1:19" s="51" customFormat="1">
      <c r="A153" s="15">
        <v>43890</v>
      </c>
      <c r="B153" s="14">
        <v>391387.4</v>
      </c>
      <c r="C153" s="14">
        <v>-646726.6</v>
      </c>
      <c r="D153" s="14">
        <f t="shared" si="44"/>
        <v>-255339.19999999995</v>
      </c>
      <c r="E153" s="14">
        <v>0</v>
      </c>
      <c r="F153" s="14">
        <v>1421014.3</v>
      </c>
      <c r="G153" s="14">
        <f>18771.6+105451.8+84.3+0</f>
        <v>124307.7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40"/>
        <v>1729201.2999999998</v>
      </c>
      <c r="M153" s="14">
        <v>34755.199999999997</v>
      </c>
      <c r="N153" s="14">
        <v>1364096.6333333335</v>
      </c>
      <c r="O153" s="54">
        <v>327</v>
      </c>
      <c r="P153" s="54">
        <f>157.9+0+0+13533.8</f>
        <v>13691.699999999999</v>
      </c>
      <c r="Q153" s="14">
        <f t="shared" si="45"/>
        <v>1412870.5333333334</v>
      </c>
      <c r="R153" s="14">
        <f t="shared" si="46"/>
        <v>3142071.833333333</v>
      </c>
      <c r="S153" s="14">
        <f t="shared" si="43"/>
        <v>2886732.6333333328</v>
      </c>
    </row>
    <row r="154" spans="1:19" s="51" customFormat="1">
      <c r="A154" s="15">
        <v>43921</v>
      </c>
      <c r="B154" s="14">
        <v>346877</v>
      </c>
      <c r="C154" s="14">
        <v>-636787.1</v>
      </c>
      <c r="D154" s="14">
        <f t="shared" si="44"/>
        <v>-289910.09999999998</v>
      </c>
      <c r="E154" s="14">
        <v>0</v>
      </c>
      <c r="F154" s="14">
        <v>1416244.1999999997</v>
      </c>
      <c r="G154" s="14">
        <f>20393+106337.4+0+0</f>
        <v>126730.4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40"/>
        <v>1694224.8999999997</v>
      </c>
      <c r="M154" s="14">
        <v>32240.899999999994</v>
      </c>
      <c r="N154" s="14">
        <v>1394187.3</v>
      </c>
      <c r="O154" s="54">
        <v>342.2</v>
      </c>
      <c r="P154" s="54">
        <f>157.9+0+0+14108.7</f>
        <v>14266.6</v>
      </c>
      <c r="Q154" s="14">
        <f t="shared" si="45"/>
        <v>1441037</v>
      </c>
      <c r="R154" s="14">
        <f t="shared" si="46"/>
        <v>3135261.8999999994</v>
      </c>
      <c r="S154" s="14">
        <f t="shared" si="43"/>
        <v>2845351.7999999993</v>
      </c>
    </row>
    <row r="155" spans="1:19" s="51" customFormat="1">
      <c r="A155" s="15">
        <v>43951</v>
      </c>
      <c r="B155" s="14">
        <v>330978.89999999997</v>
      </c>
      <c r="C155" s="14">
        <v>-642025.89999999991</v>
      </c>
      <c r="D155" s="14">
        <f t="shared" si="44"/>
        <v>-311046.99999999994</v>
      </c>
      <c r="E155" s="14">
        <v>0</v>
      </c>
      <c r="F155" s="14">
        <v>1420174.2000000002</v>
      </c>
      <c r="G155" s="14">
        <f>16512.8+107005.7+0+0</f>
        <v>123518.5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40"/>
        <v>1735520.5999999999</v>
      </c>
      <c r="M155" s="14">
        <v>33654.899999999994</v>
      </c>
      <c r="N155" s="14">
        <v>1401197.1</v>
      </c>
      <c r="O155" s="54">
        <v>357.29999999999995</v>
      </c>
      <c r="P155" s="54">
        <f>157.9+0+0+14108.7</f>
        <v>14266.6</v>
      </c>
      <c r="Q155" s="14">
        <f t="shared" si="45"/>
        <v>1449475.9000000001</v>
      </c>
      <c r="R155" s="14">
        <f t="shared" si="46"/>
        <v>3184996.5</v>
      </c>
      <c r="S155" s="14">
        <f t="shared" si="43"/>
        <v>2873949.5</v>
      </c>
    </row>
    <row r="156" spans="1:19" s="51" customFormat="1">
      <c r="A156" s="15">
        <v>43982</v>
      </c>
      <c r="B156" s="14">
        <v>312130.09999999998</v>
      </c>
      <c r="C156" s="14">
        <v>-657577.39999999991</v>
      </c>
      <c r="D156" s="14">
        <f t="shared" si="44"/>
        <v>-345447.29999999993</v>
      </c>
      <c r="E156" s="14">
        <v>0</v>
      </c>
      <c r="F156" s="14">
        <v>1446168.9000000006</v>
      </c>
      <c r="G156" s="14">
        <f>15846.7+100486.7+0+0+1852.2</f>
        <v>118185.59999999999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40"/>
        <v>1719313.9000000006</v>
      </c>
      <c r="M156" s="14">
        <v>30561.799999999996</v>
      </c>
      <c r="N156" s="14">
        <v>1472161.9000000004</v>
      </c>
      <c r="O156" s="54">
        <v>552.5</v>
      </c>
      <c r="P156" s="54">
        <f>157.9+0+0+14108.7</f>
        <v>14266.6</v>
      </c>
      <c r="Q156" s="14">
        <f t="shared" si="45"/>
        <v>1517542.8000000005</v>
      </c>
      <c r="R156" s="14">
        <f t="shared" si="46"/>
        <v>3236856.7000000011</v>
      </c>
      <c r="S156" s="14">
        <f t="shared" si="43"/>
        <v>2891409.4000000013</v>
      </c>
    </row>
    <row r="157" spans="1:19" s="51" customFormat="1">
      <c r="A157" s="15">
        <v>44012</v>
      </c>
      <c r="B157" s="14">
        <v>309848.40000000002</v>
      </c>
      <c r="C157" s="14">
        <v>-647711.69999999995</v>
      </c>
      <c r="D157" s="14">
        <f t="shared" si="44"/>
        <v>-337863.29999999993</v>
      </c>
      <c r="E157" s="14">
        <v>0</v>
      </c>
      <c r="F157" s="14">
        <v>1506361.8</v>
      </c>
      <c r="G157" s="14">
        <f>16243.7+101272.9+0+21.1+5357.5</f>
        <v>122895.2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40"/>
        <v>1826380.2000000002</v>
      </c>
      <c r="M157" s="14">
        <v>29679</v>
      </c>
      <c r="N157" s="14">
        <v>1477533.4000000001</v>
      </c>
      <c r="O157" s="54">
        <v>328.2</v>
      </c>
      <c r="P157" s="54">
        <f t="shared" ref="P157:P159" si="47">157.9+0+0+13851.3</f>
        <v>14009.199999999999</v>
      </c>
      <c r="Q157" s="14">
        <f t="shared" si="45"/>
        <v>1521549.8</v>
      </c>
      <c r="R157" s="14">
        <f t="shared" si="46"/>
        <v>3347930</v>
      </c>
      <c r="S157" s="14">
        <f t="shared" si="43"/>
        <v>3010066.7</v>
      </c>
    </row>
    <row r="158" spans="1:19" s="51" customFormat="1">
      <c r="A158" s="15">
        <v>44043</v>
      </c>
      <c r="B158" s="14">
        <v>340926.4</v>
      </c>
      <c r="C158" s="14">
        <v>-643538.9</v>
      </c>
      <c r="D158" s="14">
        <f t="shared" si="44"/>
        <v>-302612.5</v>
      </c>
      <c r="E158" s="14">
        <v>0</v>
      </c>
      <c r="F158" s="14">
        <v>1537119.7000000002</v>
      </c>
      <c r="G158" s="14">
        <f>21529.8+100450.9+21.1+9362.2</f>
        <v>131364</v>
      </c>
      <c r="H158" s="52">
        <v>13933</v>
      </c>
      <c r="I158" s="52">
        <v>714329.3</v>
      </c>
      <c r="J158" s="53">
        <v>-511155.33333333326</v>
      </c>
      <c r="K158" s="14">
        <f>-87611.3-21.1</f>
        <v>-87632.400000000009</v>
      </c>
      <c r="L158" s="14">
        <f t="shared" ref="L158:L162" si="48">SUM( (E158:K158))</f>
        <v>1797958.2666666668</v>
      </c>
      <c r="M158" s="14">
        <f>27283+101.6</f>
        <v>27384.6</v>
      </c>
      <c r="N158" s="14">
        <f>1491883.9+69156.7-157.9-0-0-13851.3</f>
        <v>1547031.4</v>
      </c>
      <c r="O158" s="54">
        <v>226.5</v>
      </c>
      <c r="P158" s="54">
        <f t="shared" si="47"/>
        <v>14009.199999999999</v>
      </c>
      <c r="Q158" s="14">
        <f t="shared" si="45"/>
        <v>1588651.7</v>
      </c>
      <c r="R158" s="14">
        <f t="shared" si="46"/>
        <v>3386609.9666666668</v>
      </c>
      <c r="S158" s="14">
        <f t="shared" si="43"/>
        <v>3083997.4666666668</v>
      </c>
    </row>
    <row r="159" spans="1:19" s="51" customFormat="1">
      <c r="A159" s="15">
        <v>44074</v>
      </c>
      <c r="B159" s="14">
        <v>365381.4</v>
      </c>
      <c r="C159" s="14">
        <v>-628703.79999999981</v>
      </c>
      <c r="D159" s="14">
        <f t="shared" si="44"/>
        <v>-263322.39999999979</v>
      </c>
      <c r="E159" s="14">
        <v>0</v>
      </c>
      <c r="F159" s="14">
        <v>1558569.3</v>
      </c>
      <c r="G159" s="14">
        <f>13546.8+101333.4+21.1+23833.1</f>
        <v>138734.39999999999</v>
      </c>
      <c r="H159" s="52">
        <v>13933</v>
      </c>
      <c r="I159" s="52">
        <v>713689.4</v>
      </c>
      <c r="J159" s="53">
        <v>-559017.56666666677</v>
      </c>
      <c r="K159" s="14">
        <f>-88138-21.1</f>
        <v>-88159.1</v>
      </c>
      <c r="L159" s="14">
        <f t="shared" si="48"/>
        <v>1777749.4333333331</v>
      </c>
      <c r="M159" s="14">
        <v>27780.7</v>
      </c>
      <c r="N159" s="14">
        <f>1533370.8+67266.6-157.9-0-0-13851.3</f>
        <v>1586628.2000000002</v>
      </c>
      <c r="O159" s="54">
        <v>305.60000000000002</v>
      </c>
      <c r="P159" s="54">
        <f t="shared" si="47"/>
        <v>14009.199999999999</v>
      </c>
      <c r="Q159" s="14">
        <f t="shared" si="45"/>
        <v>1628723.7000000002</v>
      </c>
      <c r="R159" s="14">
        <f t="shared" si="46"/>
        <v>3406473.1333333333</v>
      </c>
      <c r="S159" s="14">
        <f t="shared" si="43"/>
        <v>3143150.7333333334</v>
      </c>
    </row>
    <row r="160" spans="1:19" s="51" customFormat="1">
      <c r="A160" s="15">
        <v>44104</v>
      </c>
      <c r="B160" s="14">
        <v>371801.1</v>
      </c>
      <c r="C160" s="14">
        <v>-655416.29999999993</v>
      </c>
      <c r="D160" s="14">
        <f t="shared" si="44"/>
        <v>-283615.19999999995</v>
      </c>
      <c r="E160" s="14">
        <v>0</v>
      </c>
      <c r="F160" s="14">
        <v>1579323.1</v>
      </c>
      <c r="G160" s="14">
        <f>19611.4+127969.7+42.1+25822.8+150000</f>
        <v>323446</v>
      </c>
      <c r="H160" s="52">
        <v>12539.7</v>
      </c>
      <c r="I160" s="52">
        <v>713120.2</v>
      </c>
      <c r="J160" s="53">
        <v>-491610.60000000009</v>
      </c>
      <c r="K160" s="14">
        <f>-76711.2-42.1</f>
        <v>-76753.3</v>
      </c>
      <c r="L160" s="14">
        <f t="shared" si="48"/>
        <v>2060065.0999999999</v>
      </c>
      <c r="M160" s="14">
        <v>30729.4</v>
      </c>
      <c r="N160" s="14">
        <f>1497273.1+83422.1-157.9-0-0-15037.6</f>
        <v>1565499.7000000002</v>
      </c>
      <c r="O160" s="54">
        <v>311</v>
      </c>
      <c r="P160" s="54">
        <f>157.9+0+0+15037.6</f>
        <v>15195.5</v>
      </c>
      <c r="Q160" s="14">
        <f t="shared" si="45"/>
        <v>1611735.6</v>
      </c>
      <c r="R160" s="14">
        <f t="shared" si="46"/>
        <v>3671800.7</v>
      </c>
      <c r="S160" s="14">
        <f t="shared" si="43"/>
        <v>3388185.5</v>
      </c>
    </row>
    <row r="161" spans="1:19" s="51" customFormat="1">
      <c r="A161" s="15">
        <v>44135</v>
      </c>
      <c r="B161" s="14">
        <v>373113.7</v>
      </c>
      <c r="C161" s="14">
        <v>-655955.6</v>
      </c>
      <c r="D161" s="14">
        <f t="shared" si="44"/>
        <v>-282841.89999999997</v>
      </c>
      <c r="E161" s="14">
        <v>0</v>
      </c>
      <c r="F161" s="14">
        <v>1602319</v>
      </c>
      <c r="G161" s="14">
        <f>16167.2+128465.5+42.1+26917.5+150000+2000</f>
        <v>323592.30000000005</v>
      </c>
      <c r="H161" s="52">
        <v>11146.4</v>
      </c>
      <c r="I161" s="52">
        <v>711911</v>
      </c>
      <c r="J161" s="53">
        <v>-522471.32063433342</v>
      </c>
      <c r="K161" s="14">
        <f>-89504.5-42.1</f>
        <v>-89546.6</v>
      </c>
      <c r="L161" s="14">
        <f t="shared" si="48"/>
        <v>2036950.7793656667</v>
      </c>
      <c r="M161" s="14">
        <v>27993.300000000003</v>
      </c>
      <c r="N161" s="14">
        <f>1514791.6+80213.9-157.9-0-0-15037.6</f>
        <v>1579810</v>
      </c>
      <c r="O161" s="54">
        <v>1236.8</v>
      </c>
      <c r="P161" s="54">
        <f>157.9+0+0+15037.6</f>
        <v>15195.5</v>
      </c>
      <c r="Q161" s="14">
        <f t="shared" si="45"/>
        <v>1624235.6</v>
      </c>
      <c r="R161" s="14">
        <f t="shared" si="46"/>
        <v>3661186.3793656668</v>
      </c>
      <c r="S161" s="14">
        <f t="shared" si="43"/>
        <v>3378344.4793656669</v>
      </c>
    </row>
    <row r="162" spans="1:19" s="51" customFormat="1">
      <c r="A162" s="15">
        <v>44165</v>
      </c>
      <c r="B162" s="14">
        <v>392079</v>
      </c>
      <c r="C162" s="14">
        <v>-677318.89999999991</v>
      </c>
      <c r="D162" s="14">
        <f t="shared" si="44"/>
        <v>-285239.89999999991</v>
      </c>
      <c r="E162" s="14">
        <v>0</v>
      </c>
      <c r="F162" s="14">
        <v>1616395.6</v>
      </c>
      <c r="G162" s="14">
        <f>25646.7+122324.4+42.1+26994.4+150000+2000</f>
        <v>327007.59999999998</v>
      </c>
      <c r="H162" s="52">
        <v>9753.1</v>
      </c>
      <c r="I162" s="52">
        <v>710701.9</v>
      </c>
      <c r="J162" s="53">
        <v>-534879.71095966664</v>
      </c>
      <c r="K162" s="14">
        <f>-78458.6-42.1</f>
        <v>-78500.700000000012</v>
      </c>
      <c r="L162" s="14">
        <f t="shared" si="48"/>
        <v>2050477.7890403338</v>
      </c>
      <c r="M162" s="14">
        <v>23331.999999999996</v>
      </c>
      <c r="N162" s="14">
        <f>1550362.1+74682.4-157.9-0-0-15037.6</f>
        <v>1609849</v>
      </c>
      <c r="O162" s="54">
        <v>1196.1000000000001</v>
      </c>
      <c r="P162" s="54">
        <f t="shared" ref="P162" si="49">157.9+0+0+15037.6</f>
        <v>15195.5</v>
      </c>
      <c r="Q162" s="14">
        <f t="shared" si="45"/>
        <v>1649572.6</v>
      </c>
      <c r="R162" s="14">
        <f t="shared" si="46"/>
        <v>3700050.3890403342</v>
      </c>
      <c r="S162" s="14">
        <f t="shared" si="43"/>
        <v>3414810.4890403342</v>
      </c>
    </row>
    <row r="163" spans="1:19" s="51" customFormat="1">
      <c r="A163" s="15">
        <v>44196</v>
      </c>
      <c r="B163" s="14">
        <v>456497.4</v>
      </c>
      <c r="C163" s="14">
        <v>-662962.19999999995</v>
      </c>
      <c r="D163" s="14">
        <f t="shared" si="44"/>
        <v>-206464.79999999993</v>
      </c>
      <c r="E163" s="14">
        <v>0</v>
      </c>
      <c r="F163" s="14">
        <v>1655938</v>
      </c>
      <c r="G163" s="14">
        <f>18210.4+124159.9+63.2+27463+150000+2000</f>
        <v>321896.5</v>
      </c>
      <c r="H163" s="52">
        <v>6921.2</v>
      </c>
      <c r="I163" s="52">
        <v>708283.6</v>
      </c>
      <c r="J163" s="53">
        <v>-555970.31651700009</v>
      </c>
      <c r="K163" s="14">
        <v>-72918.899999999994</v>
      </c>
      <c r="L163" s="14">
        <f t="shared" ref="L163" si="50">SUM( (E163:K163))</f>
        <v>2064150.0834829998</v>
      </c>
      <c r="M163" s="14">
        <f>22344.7+101.6</f>
        <v>22446.3</v>
      </c>
      <c r="N163" s="14">
        <f>1580673.5+78748.6-157.9-0-0-13307.6</f>
        <v>1645956.6</v>
      </c>
      <c r="O163" s="54">
        <v>1185.1999999999998</v>
      </c>
      <c r="P163" s="54">
        <f>157.9+0+0+13307.6</f>
        <v>13465.5</v>
      </c>
      <c r="Q163" s="14">
        <f t="shared" si="45"/>
        <v>1683053.6</v>
      </c>
      <c r="R163" s="14">
        <f t="shared" si="46"/>
        <v>3747203.6834829999</v>
      </c>
      <c r="S163" s="14">
        <f t="shared" si="43"/>
        <v>3540738.8834830001</v>
      </c>
    </row>
    <row r="164" spans="1:19" s="51" customFormat="1">
      <c r="A164" s="15">
        <v>44227</v>
      </c>
      <c r="B164" s="14">
        <v>464515.50000000006</v>
      </c>
      <c r="C164" s="14">
        <v>-685281.53333333333</v>
      </c>
      <c r="D164" s="14">
        <f t="shared" si="44"/>
        <v>-220766.03333333327</v>
      </c>
      <c r="E164" s="14">
        <v>0</v>
      </c>
      <c r="F164" s="14">
        <v>1672079.6</v>
      </c>
      <c r="G164" s="14">
        <f>24701.1+27463+150000+2000+122022.3+63.2</f>
        <v>326249.60000000003</v>
      </c>
      <c r="H164" s="52">
        <v>6921.2</v>
      </c>
      <c r="I164" s="52">
        <v>708283.6</v>
      </c>
      <c r="J164" s="53">
        <v>-568940.47774200002</v>
      </c>
      <c r="K164" s="14">
        <v>-84343.1</v>
      </c>
      <c r="L164" s="14">
        <f t="shared" ref="L164:L175" si="51">SUM( (E164:K164))</f>
        <v>2060250.4222579999</v>
      </c>
      <c r="M164" s="14">
        <f>28189.1+101.6</f>
        <v>28290.699999999997</v>
      </c>
      <c r="N164" s="14">
        <f>1604475.6+84576.7-157.9-0-0-13307.6</f>
        <v>1675586.8</v>
      </c>
      <c r="O164" s="54">
        <v>1063.0999999999999</v>
      </c>
      <c r="P164" s="54">
        <f t="shared" ref="P164:P165" si="52">157.9+0+0+13307.6</f>
        <v>13465.5</v>
      </c>
      <c r="Q164" s="14">
        <f t="shared" si="45"/>
        <v>1718406.1</v>
      </c>
      <c r="R164" s="14">
        <f t="shared" si="46"/>
        <v>3778656.522258</v>
      </c>
      <c r="S164" s="14">
        <f t="shared" si="43"/>
        <v>3557890.4889246668</v>
      </c>
    </row>
    <row r="165" spans="1:19" s="51" customFormat="1">
      <c r="A165" s="15">
        <v>44255</v>
      </c>
      <c r="B165" s="14">
        <v>485942.2</v>
      </c>
      <c r="C165" s="14">
        <v>-676825.66666666663</v>
      </c>
      <c r="D165" s="14">
        <f t="shared" si="44"/>
        <v>-190883.46666666662</v>
      </c>
      <c r="E165" s="14">
        <v>0</v>
      </c>
      <c r="F165" s="14">
        <v>1691505.9</v>
      </c>
      <c r="G165" s="14">
        <f>23304.2+149633.6+0+63.2+27463+150000+2000+4668.9</f>
        <v>357132.9</v>
      </c>
      <c r="H165" s="52">
        <v>5527.9</v>
      </c>
      <c r="I165" s="52">
        <v>704458.1</v>
      </c>
      <c r="J165" s="53">
        <v>-624636.20289299998</v>
      </c>
      <c r="K165" s="14">
        <v>-74764.100000000006</v>
      </c>
      <c r="L165" s="14">
        <f t="shared" si="51"/>
        <v>2059224.4971069996</v>
      </c>
      <c r="M165" s="14">
        <f>26251.3+101.6</f>
        <v>26352.899999999998</v>
      </c>
      <c r="N165" s="14">
        <f>1644676.5+80185.2-157.9-0-0-13307.6</f>
        <v>1711396.2</v>
      </c>
      <c r="O165" s="54">
        <v>1036.3</v>
      </c>
      <c r="P165" s="54">
        <f t="shared" si="52"/>
        <v>13465.5</v>
      </c>
      <c r="Q165" s="14">
        <f t="shared" si="45"/>
        <v>1752250.9</v>
      </c>
      <c r="R165" s="14">
        <f t="shared" si="46"/>
        <v>3811475.3971069995</v>
      </c>
      <c r="S165" s="14">
        <f t="shared" si="43"/>
        <v>3620591.9304403327</v>
      </c>
    </row>
    <row r="166" spans="1:19" s="51" customFormat="1">
      <c r="A166" s="15">
        <v>44286</v>
      </c>
      <c r="B166" s="14">
        <v>433350.50000000006</v>
      </c>
      <c r="C166" s="14">
        <v>-662899.39999999991</v>
      </c>
      <c r="D166" s="14">
        <f t="shared" si="44"/>
        <v>-229548.89999999985</v>
      </c>
      <c r="E166" s="14">
        <v>0</v>
      </c>
      <c r="F166" s="14">
        <v>1691981.5</v>
      </c>
      <c r="G166" s="14">
        <f>28954.5+146454.9+63.2+0+150000+2000+4668.9</f>
        <v>332141.5</v>
      </c>
      <c r="H166" s="52">
        <v>4134.6000000000004</v>
      </c>
      <c r="I166" s="52">
        <v>703262.9</v>
      </c>
      <c r="J166" s="53">
        <v>-576480.80000000005</v>
      </c>
      <c r="K166" s="14">
        <v>-79893.7</v>
      </c>
      <c r="L166" s="14">
        <f t="shared" si="51"/>
        <v>2075146.0000000002</v>
      </c>
      <c r="M166" s="14">
        <f>24587.6+101.6</f>
        <v>24689.199999999997</v>
      </c>
      <c r="N166" s="14">
        <f>1703268+76222.9-157.9-0-0-13045.1</f>
        <v>1766287.9</v>
      </c>
      <c r="O166" s="54">
        <v>734.60000000000014</v>
      </c>
      <c r="P166" s="54">
        <f>157.9+0+0+13045.1</f>
        <v>13203</v>
      </c>
      <c r="Q166" s="14">
        <f t="shared" si="45"/>
        <v>1804914.7</v>
      </c>
      <c r="R166" s="14">
        <f t="shared" si="46"/>
        <v>3880060.7</v>
      </c>
      <c r="S166" s="14">
        <f t="shared" si="43"/>
        <v>3650511.8000000003</v>
      </c>
    </row>
    <row r="167" spans="1:19" s="51" customFormat="1">
      <c r="A167" s="15">
        <v>44316</v>
      </c>
      <c r="B167" s="14">
        <v>402164.89999999997</v>
      </c>
      <c r="C167" s="14">
        <v>-652463.80000000005</v>
      </c>
      <c r="D167" s="14">
        <f t="shared" si="44"/>
        <v>-250298.90000000008</v>
      </c>
      <c r="E167" s="14">
        <v>0</v>
      </c>
      <c r="F167" s="14">
        <v>1710014.3</v>
      </c>
      <c r="G167" s="14">
        <f>19870.3+150000+4032.5+4668.9+29176.1+146901.6</f>
        <v>354649.4</v>
      </c>
      <c r="H167" s="52">
        <v>2741.3</v>
      </c>
      <c r="I167" s="52">
        <v>702954.8</v>
      </c>
      <c r="J167" s="53">
        <v>-612330.4</v>
      </c>
      <c r="K167" s="14">
        <v>-103216.1</v>
      </c>
      <c r="L167" s="14">
        <f t="shared" si="51"/>
        <v>2054813.3000000003</v>
      </c>
      <c r="M167" s="14">
        <f>23300.7+101.6</f>
        <v>23402.3</v>
      </c>
      <c r="N167" s="14">
        <f>1733623.8+79142.1-157.9-0-0-13045.1</f>
        <v>1799562.9000000001</v>
      </c>
      <c r="O167" s="54">
        <v>596.59999999999991</v>
      </c>
      <c r="P167" s="54">
        <f t="shared" ref="P167:P168" si="53">157.9+0+0+13045.1</f>
        <v>13203</v>
      </c>
      <c r="Q167" s="14">
        <f t="shared" si="45"/>
        <v>1836764.8000000003</v>
      </c>
      <c r="R167" s="14">
        <f t="shared" si="46"/>
        <v>3891578.1000000006</v>
      </c>
      <c r="S167" s="14">
        <f t="shared" si="43"/>
        <v>3641279.2000000007</v>
      </c>
    </row>
    <row r="168" spans="1:19" s="51" customFormat="1">
      <c r="A168" s="15">
        <v>44347</v>
      </c>
      <c r="B168" s="14">
        <v>376211.1</v>
      </c>
      <c r="C168" s="14">
        <v>-649886.79999999993</v>
      </c>
      <c r="D168" s="14">
        <f t="shared" si="44"/>
        <v>-273675.69999999995</v>
      </c>
      <c r="E168" s="14">
        <v>0</v>
      </c>
      <c r="F168" s="14">
        <v>1735779.5</v>
      </c>
      <c r="G168" s="14">
        <f>21693+133028.3+0+0+0+150000+6043.1+4668.9+29176.1+837.8</f>
        <v>345447.19999999995</v>
      </c>
      <c r="H168" s="52">
        <v>0</v>
      </c>
      <c r="I168" s="52">
        <v>702546.1</v>
      </c>
      <c r="J168" s="53">
        <v>-609086.80000000005</v>
      </c>
      <c r="K168" s="14">
        <v>-92826.299999999988</v>
      </c>
      <c r="L168" s="14">
        <f t="shared" si="51"/>
        <v>2081859.7</v>
      </c>
      <c r="M168" s="14">
        <f>24803.1+101.6</f>
        <v>24904.699999999997</v>
      </c>
      <c r="N168" s="14">
        <f>1810143+77745.3-157.9-0-0-13045.1</f>
        <v>1874685.3</v>
      </c>
      <c r="O168" s="54">
        <v>5596.7000000000007</v>
      </c>
      <c r="P168" s="54">
        <f t="shared" si="53"/>
        <v>13203</v>
      </c>
      <c r="Q168" s="14">
        <f t="shared" si="45"/>
        <v>1918389.7</v>
      </c>
      <c r="R168" s="14">
        <f t="shared" si="46"/>
        <v>4000249.4</v>
      </c>
      <c r="S168" s="14">
        <f t="shared" si="43"/>
        <v>3726573.7</v>
      </c>
    </row>
    <row r="169" spans="1:19" s="51" customFormat="1">
      <c r="A169" s="15">
        <v>44377</v>
      </c>
      <c r="B169" s="14">
        <v>377066.70000000007</v>
      </c>
      <c r="C169" s="14">
        <v>-682853.8</v>
      </c>
      <c r="D169" s="14">
        <f t="shared" si="44"/>
        <v>-305787.09999999998</v>
      </c>
      <c r="E169" s="14">
        <v>57076.7</v>
      </c>
      <c r="F169" s="14">
        <v>1761707.1</v>
      </c>
      <c r="G169" s="14">
        <v>350807.02999999997</v>
      </c>
      <c r="H169" s="52">
        <v>0</v>
      </c>
      <c r="I169" s="52">
        <v>701028.8</v>
      </c>
      <c r="J169" s="53">
        <v>-632802</v>
      </c>
      <c r="K169" s="14">
        <v>-82601.5</v>
      </c>
      <c r="L169" s="14">
        <f t="shared" si="51"/>
        <v>2155216.13</v>
      </c>
      <c r="M169" s="14">
        <f>26128+101.6</f>
        <v>26229.599999999999</v>
      </c>
      <c r="N169" s="14">
        <f>1934198.2+76675-157.9-0-0-12836.2</f>
        <v>1997879.1</v>
      </c>
      <c r="O169" s="54">
        <v>5539.4</v>
      </c>
      <c r="P169" s="54">
        <f>157.9+0+0+12836.2</f>
        <v>12994.1</v>
      </c>
      <c r="Q169" s="14">
        <f t="shared" si="45"/>
        <v>2042642.2000000002</v>
      </c>
      <c r="R169" s="14">
        <f t="shared" si="46"/>
        <v>4197858.33</v>
      </c>
      <c r="S169" s="14">
        <f t="shared" si="43"/>
        <v>3892071.23</v>
      </c>
    </row>
    <row r="170" spans="1:19" s="51" customFormat="1" ht="18">
      <c r="A170" s="15" t="s">
        <v>68</v>
      </c>
      <c r="B170" s="14">
        <v>366315.1</v>
      </c>
      <c r="C170" s="14">
        <v>-707134.36666666658</v>
      </c>
      <c r="D170" s="14">
        <f t="shared" si="44"/>
        <v>-340819.2666666666</v>
      </c>
      <c r="E170" s="14">
        <v>63146.5</v>
      </c>
      <c r="F170" s="14">
        <v>1820548.8</v>
      </c>
      <c r="G170" s="14">
        <f>23740.6+113512+0+28.2+0+150000+11960.4+4668.9+29176.1+5438.2</f>
        <v>338524.40000000008</v>
      </c>
      <c r="H170" s="52">
        <v>0</v>
      </c>
      <c r="I170" s="52">
        <v>700389</v>
      </c>
      <c r="J170" s="53">
        <v>-636715.46666666667</v>
      </c>
      <c r="K170" s="14">
        <v>-92362.5</v>
      </c>
      <c r="L170" s="14">
        <f t="shared" si="51"/>
        <v>2193530.7333333334</v>
      </c>
      <c r="M170" s="14">
        <f>23417.6+101.6</f>
        <v>23519.199999999997</v>
      </c>
      <c r="N170" s="14">
        <f>2007945+83000.4-157.9-0-0-12836.2</f>
        <v>2077951.3</v>
      </c>
      <c r="O170" s="54">
        <v>383.9</v>
      </c>
      <c r="P170" s="54">
        <f t="shared" ref="P170:P171" si="54">157.9+0+0+12836.2</f>
        <v>12994.1</v>
      </c>
      <c r="Q170" s="14">
        <f t="shared" si="45"/>
        <v>2114848.5</v>
      </c>
      <c r="R170" s="14">
        <f t="shared" si="46"/>
        <v>4308379.2333333334</v>
      </c>
      <c r="S170" s="14">
        <f t="shared" si="43"/>
        <v>3967559.9666666668</v>
      </c>
    </row>
    <row r="171" spans="1:19" s="51" customFormat="1" ht="18">
      <c r="A171" s="15" t="s">
        <v>69</v>
      </c>
      <c r="B171" s="14">
        <v>757910.6</v>
      </c>
      <c r="C171" s="14">
        <v>-1122663.6333333333</v>
      </c>
      <c r="D171" s="14">
        <f t="shared" si="44"/>
        <v>-364753.03333333333</v>
      </c>
      <c r="E171" s="14">
        <v>33670.800000000003</v>
      </c>
      <c r="F171" s="14">
        <v>1845715.7</v>
      </c>
      <c r="G171" s="14">
        <f>23347.2+150000+11960.4+4668.9+29176.1+9796.1+125524.9+28.2</f>
        <v>354501.8</v>
      </c>
      <c r="H171" s="52">
        <v>0</v>
      </c>
      <c r="I171" s="52">
        <v>698477.8</v>
      </c>
      <c r="J171" s="53">
        <v>-672819.43333333335</v>
      </c>
      <c r="K171" s="14">
        <v>-81429.399999999994</v>
      </c>
      <c r="L171" s="14">
        <f t="shared" si="51"/>
        <v>2178117.2666666661</v>
      </c>
      <c r="M171" s="14">
        <f>25358.1+101.6</f>
        <v>25459.699999999997</v>
      </c>
      <c r="N171" s="14">
        <f>2106688.9+77934.2-157.9-0-0-12836.2</f>
        <v>2171629</v>
      </c>
      <c r="O171" s="54">
        <v>309.8</v>
      </c>
      <c r="P171" s="54">
        <f t="shared" si="54"/>
        <v>12994.1</v>
      </c>
      <c r="Q171" s="14">
        <f t="shared" si="45"/>
        <v>2210392.6</v>
      </c>
      <c r="R171" s="14">
        <f t="shared" si="46"/>
        <v>4388509.8666666662</v>
      </c>
      <c r="S171" s="14">
        <f t="shared" si="43"/>
        <v>4023756.833333333</v>
      </c>
    </row>
    <row r="172" spans="1:19" s="51" customFormat="1" ht="18">
      <c r="A172" s="15" t="s">
        <v>70</v>
      </c>
      <c r="B172" s="14">
        <v>804427.99999999988</v>
      </c>
      <c r="C172" s="14">
        <v>-1209942</v>
      </c>
      <c r="D172" s="14">
        <f t="shared" si="44"/>
        <v>-405514.00000000012</v>
      </c>
      <c r="E172" s="14">
        <v>0</v>
      </c>
      <c r="F172" s="14">
        <v>1859172.4</v>
      </c>
      <c r="G172" s="14">
        <f>23801.5+150000+11960.4+4668.9+29176.1+10252+120867.1+0</f>
        <v>350726</v>
      </c>
      <c r="H172" s="52">
        <v>0</v>
      </c>
      <c r="I172" s="52">
        <v>697339.3</v>
      </c>
      <c r="J172" s="53">
        <v>-660525.29999999993</v>
      </c>
      <c r="K172" s="14">
        <v>-81058.799999999988</v>
      </c>
      <c r="L172" s="14">
        <f t="shared" si="51"/>
        <v>2165653.6000000006</v>
      </c>
      <c r="M172" s="14">
        <f>25613.6+101.6</f>
        <v>25715.199999999997</v>
      </c>
      <c r="N172" s="14">
        <f>2183770.8+82048.6-157.9-0-0-12836.2</f>
        <v>2252825.2999999998</v>
      </c>
      <c r="O172" s="54">
        <v>337.9</v>
      </c>
      <c r="P172" s="54">
        <f>157.9+0+0+12836.2</f>
        <v>12994.1</v>
      </c>
      <c r="Q172" s="14">
        <f t="shared" si="45"/>
        <v>2291872.5</v>
      </c>
      <c r="R172" s="14">
        <f t="shared" si="46"/>
        <v>4457526.1000000006</v>
      </c>
      <c r="S172" s="14">
        <f t="shared" si="43"/>
        <v>4052012.1000000006</v>
      </c>
    </row>
    <row r="173" spans="1:19" s="51" customFormat="1" ht="18">
      <c r="A173" s="15" t="s">
        <v>71</v>
      </c>
      <c r="B173" s="14">
        <v>920425</v>
      </c>
      <c r="C173" s="14">
        <v>-1197477.3999999999</v>
      </c>
      <c r="D173" s="14">
        <f t="shared" si="44"/>
        <v>-277052.39999999991</v>
      </c>
      <c r="E173" s="14">
        <v>0</v>
      </c>
      <c r="F173" s="14">
        <f>0+0+165928.1+1558817.3+105201.2+25151.5+2719.6+0</f>
        <v>1857817.7000000002</v>
      </c>
      <c r="G173" s="14">
        <f>27975.3+0+150000+11960.4+4668.9+29176.1+10288.9+117703.5+0</f>
        <v>351773.1</v>
      </c>
      <c r="H173" s="52">
        <v>0</v>
      </c>
      <c r="I173" s="52">
        <v>696699.4</v>
      </c>
      <c r="J173" s="53">
        <v>-837556.7</v>
      </c>
      <c r="K173" s="14">
        <v>-83014.5</v>
      </c>
      <c r="L173" s="14">
        <f t="shared" si="51"/>
        <v>1985719.0000000002</v>
      </c>
      <c r="M173" s="14">
        <f>25564.8+101.6</f>
        <v>25666.399999999998</v>
      </c>
      <c r="N173" s="14">
        <f>2256583.8+79359.9-157.9-0-0-12836.2</f>
        <v>2322949.5999999996</v>
      </c>
      <c r="O173" s="54">
        <v>279.7</v>
      </c>
      <c r="P173" s="54">
        <f>157.9+0+0+12836.2</f>
        <v>12994.1</v>
      </c>
      <c r="Q173" s="14">
        <f t="shared" si="45"/>
        <v>2361889.7999999998</v>
      </c>
      <c r="R173" s="14">
        <f t="shared" si="46"/>
        <v>4347608.8</v>
      </c>
      <c r="S173" s="14">
        <f t="shared" si="43"/>
        <v>4070556.4</v>
      </c>
    </row>
    <row r="174" spans="1:19" s="51" customFormat="1" ht="18">
      <c r="A174" s="15" t="s">
        <v>74</v>
      </c>
      <c r="B174" s="14">
        <v>834643.39999999991</v>
      </c>
      <c r="C174" s="14">
        <v>-1156218.1000000001</v>
      </c>
      <c r="D174" s="14">
        <f t="shared" si="44"/>
        <v>-321574.70000000019</v>
      </c>
      <c r="E174" s="14">
        <v>61719.1</v>
      </c>
      <c r="F174" s="14">
        <f>0+0+147787.2+1568133.6+105022.2+25151.5+2616.3+0</f>
        <v>1848710.8</v>
      </c>
      <c r="G174" s="14">
        <f>16285.3+0+113333.3+11960.3+4668.9+28191.3+10288.9+111470.3+0</f>
        <v>296198.3</v>
      </c>
      <c r="H174" s="52">
        <v>0</v>
      </c>
      <c r="I174" s="52">
        <v>693753.1</v>
      </c>
      <c r="J174" s="53">
        <v>-840271.3</v>
      </c>
      <c r="K174" s="14">
        <v>-79761.3</v>
      </c>
      <c r="L174" s="14">
        <f t="shared" si="51"/>
        <v>1980348.7000000002</v>
      </c>
      <c r="M174" s="14">
        <f>25714.2+101.6</f>
        <v>25815.8</v>
      </c>
      <c r="N174" s="14">
        <f>2340224.6+73001.6-157.9-0-0-12836.2</f>
        <v>2400232.1</v>
      </c>
      <c r="O174" s="54">
        <v>266.3</v>
      </c>
      <c r="P174" s="54">
        <f>157.9+0+0+12836.2</f>
        <v>12994.1</v>
      </c>
      <c r="Q174" s="14">
        <f t="shared" si="45"/>
        <v>2439308.2999999998</v>
      </c>
      <c r="R174" s="14">
        <f t="shared" si="46"/>
        <v>4419657</v>
      </c>
      <c r="S174" s="14">
        <f t="shared" si="43"/>
        <v>4098082.3</v>
      </c>
    </row>
    <row r="175" spans="1:19" s="51" customFormat="1" ht="18">
      <c r="A175" s="15" t="s">
        <v>75</v>
      </c>
      <c r="B175" s="14">
        <v>788996.90000000014</v>
      </c>
      <c r="C175" s="14">
        <v>-1111706.1000000001</v>
      </c>
      <c r="D175" s="14">
        <f t="shared" si="44"/>
        <v>-322709.19999999995</v>
      </c>
      <c r="E175" s="14">
        <v>36124.9</v>
      </c>
      <c r="F175" s="14">
        <f>0+0+135495.9+1574632.6+105929.2+25151.5+2639.1+0</f>
        <v>1843848.3</v>
      </c>
      <c r="G175" s="14">
        <f>17657.2+0+113333.3+17520.8+4668.9+28191.3+10728.2+101510.8</f>
        <v>293610.5</v>
      </c>
      <c r="H175" s="52">
        <v>0</v>
      </c>
      <c r="I175" s="52">
        <v>690961.7</v>
      </c>
      <c r="J175" s="53">
        <v>-834043.8</v>
      </c>
      <c r="K175" s="14">
        <v>-75800.899999999994</v>
      </c>
      <c r="L175" s="14">
        <f t="shared" si="51"/>
        <v>1954700.7000000004</v>
      </c>
      <c r="M175" s="14">
        <f>24993.2+101.6</f>
        <v>25094.799999999999</v>
      </c>
      <c r="N175" s="14">
        <f>2374179.6+82126.2-157.9-0-0-12836.2</f>
        <v>2443311.7000000002</v>
      </c>
      <c r="O175" s="54">
        <v>256.5</v>
      </c>
      <c r="P175" s="54">
        <f>157.9+0+0+12836.2</f>
        <v>12994.1</v>
      </c>
      <c r="Q175" s="14">
        <f t="shared" si="45"/>
        <v>2481657.1</v>
      </c>
      <c r="R175" s="14">
        <f t="shared" si="46"/>
        <v>4436357.8000000007</v>
      </c>
      <c r="S175" s="14">
        <f t="shared" si="43"/>
        <v>4113648.6000000006</v>
      </c>
    </row>
    <row r="176" spans="1:19" s="51" customFormat="1" ht="18">
      <c r="A176" s="15" t="s">
        <v>76</v>
      </c>
      <c r="B176" s="14">
        <v>784183.1</v>
      </c>
      <c r="C176" s="14">
        <v>-1139061.0000000002</v>
      </c>
      <c r="D176" s="14">
        <f t="shared" si="44"/>
        <v>-354877.90000000026</v>
      </c>
      <c r="E176" s="14">
        <v>57950.6</v>
      </c>
      <c r="F176" s="14">
        <f>0+0+139935.7+1563923+106085.6+25151.5+2661.9+0</f>
        <v>1837757.7</v>
      </c>
      <c r="G176" s="14">
        <f>20155.8+0+113333.3+17520.8+4668.9+29281.2+11584.4+150000+92352.3</f>
        <v>438896.7</v>
      </c>
      <c r="H176" s="52">
        <v>0</v>
      </c>
      <c r="I176" s="52">
        <v>691355.6</v>
      </c>
      <c r="J176" s="53">
        <v>-842450.70000000019</v>
      </c>
      <c r="K176" s="14">
        <v>-82686.100000000006</v>
      </c>
      <c r="L176" s="14">
        <f t="shared" ref="L176" si="55">SUM( (E176:K176))</f>
        <v>2100823.7999999998</v>
      </c>
      <c r="M176" s="14">
        <f>24783.4+101.6</f>
        <v>24885</v>
      </c>
      <c r="N176" s="14">
        <f>2402046.1+81900.4-128.8-0-0-12836.2</f>
        <v>2470981.5</v>
      </c>
      <c r="O176" s="54">
        <v>230.5</v>
      </c>
      <c r="P176" s="54">
        <f>128.8+0+0+12836.2</f>
        <v>12965</v>
      </c>
      <c r="Q176" s="14">
        <f t="shared" si="45"/>
        <v>2509062</v>
      </c>
      <c r="R176" s="14">
        <f t="shared" si="46"/>
        <v>4609885.8</v>
      </c>
      <c r="S176" s="14">
        <f t="shared" si="43"/>
        <v>4255007.8999999994</v>
      </c>
    </row>
    <row r="177" spans="1:19" s="51" customFormat="1" ht="12.75" customHeight="1">
      <c r="A177" s="64" t="s">
        <v>5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6"/>
    </row>
    <row r="178" spans="1:19" s="51" customFormat="1" ht="12.75" customHeight="1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9"/>
    </row>
    <row r="179" spans="1:19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6"/>
      <c r="L179" s="5"/>
      <c r="M179" s="5" t="s">
        <v>6</v>
      </c>
      <c r="N179" s="5"/>
      <c r="O179" s="9"/>
      <c r="P179" s="9"/>
      <c r="Q179" s="5"/>
      <c r="R179" s="5"/>
      <c r="S179" s="5"/>
    </row>
    <row r="180" spans="1:19">
      <c r="A180" s="3"/>
      <c r="B180" s="7"/>
      <c r="C180" s="7"/>
      <c r="D180" s="7"/>
      <c r="E180" s="3"/>
      <c r="F180" s="7"/>
      <c r="G180" s="7"/>
      <c r="H180" s="7"/>
      <c r="I180" s="7"/>
      <c r="J180" s="7"/>
      <c r="K180" s="3"/>
      <c r="L180" s="3"/>
      <c r="M180" s="7"/>
      <c r="N180" s="3"/>
      <c r="O180" s="10"/>
      <c r="P180" s="10"/>
      <c r="Q180" s="7"/>
      <c r="R180" s="3"/>
      <c r="S180" s="3"/>
    </row>
  </sheetData>
  <mergeCells count="9">
    <mergeCell ref="A177:S178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6"/>
  <sheetViews>
    <sheetView workbookViewId="0">
      <pane xSplit="1" ySplit="7" topLeftCell="Q50" activePane="bottomRight" state="frozen"/>
      <selection pane="topRight" activeCell="B1" sqref="B1"/>
      <selection pane="bottomLeft" activeCell="A8" sqref="A8"/>
      <selection pane="bottomRight" activeCell="A59" sqref="A59:XFD59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3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3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63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>
      <c r="A54" s="15">
        <v>43738</v>
      </c>
      <c r="B54" s="14">
        <v>298513</v>
      </c>
      <c r="C54" s="14">
        <v>-533829</v>
      </c>
      <c r="D54" s="14">
        <f t="shared" ref="D54:D60" si="23">SUM(B54:C54)</f>
        <v>-235316</v>
      </c>
      <c r="E54" s="14">
        <v>0</v>
      </c>
      <c r="F54" s="14">
        <v>1264668.5</v>
      </c>
      <c r="G54" s="14">
        <v>67957.899999999994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ref="L54:L57" si="24">SUM( (E54:K54))</f>
        <v>1522071.9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2886496</v>
      </c>
      <c r="S54" s="14">
        <f t="shared" si="22"/>
        <v>2651180</v>
      </c>
    </row>
    <row r="55" spans="1:19" s="51" customFormat="1">
      <c r="A55" s="15">
        <v>43830</v>
      </c>
      <c r="B55" s="14">
        <v>388061.1999999999</v>
      </c>
      <c r="C55" s="14">
        <v>-603082.79999999981</v>
      </c>
      <c r="D55" s="14">
        <f t="shared" si="23"/>
        <v>-215021.59999999992</v>
      </c>
      <c r="E55" s="14">
        <v>0</v>
      </c>
      <c r="F55" s="14">
        <v>1372987.2000000002</v>
      </c>
      <c r="G55" s="14">
        <v>73541.599999999991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si="24"/>
        <v>1646191.7000000002</v>
      </c>
      <c r="M55" s="14">
        <v>42179.299999999988</v>
      </c>
      <c r="N55" s="14">
        <v>1340910.8000000003</v>
      </c>
      <c r="O55" s="54">
        <v>458.5</v>
      </c>
      <c r="P55" s="54">
        <v>13691.699999999999</v>
      </c>
      <c r="Q55" s="14">
        <f>SUM(M55:P55)</f>
        <v>1397240.3000000003</v>
      </c>
      <c r="R55" s="14">
        <f>SUM(L55,Q55)</f>
        <v>3043432.0000000005</v>
      </c>
      <c r="S55" s="14">
        <f t="shared" si="22"/>
        <v>2828410.4000000004</v>
      </c>
    </row>
    <row r="56" spans="1:19" s="51" customFormat="1">
      <c r="A56" s="15">
        <v>43921</v>
      </c>
      <c r="B56" s="14">
        <v>346877</v>
      </c>
      <c r="C56" s="14">
        <v>-636787.1</v>
      </c>
      <c r="D56" s="14">
        <f t="shared" si="23"/>
        <v>-289910.09999999998</v>
      </c>
      <c r="E56" s="14">
        <v>0</v>
      </c>
      <c r="F56" s="14">
        <v>1416244.1999999997</v>
      </c>
      <c r="G56" s="14">
        <f>20393+106337.4+0+0</f>
        <v>126730.4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si="24"/>
        <v>1694224.8999999997</v>
      </c>
      <c r="M56" s="14">
        <v>32240.899999999994</v>
      </c>
      <c r="N56" s="14">
        <v>1394187.3</v>
      </c>
      <c r="O56" s="54">
        <v>342.2</v>
      </c>
      <c r="P56" s="54">
        <f>157.9+0+0+14108.7</f>
        <v>14266.6</v>
      </c>
      <c r="Q56" s="14">
        <f t="shared" ref="Q56:Q63" si="25">SUM(M56:P56)</f>
        <v>1441037</v>
      </c>
      <c r="R56" s="14">
        <f t="shared" ref="R56:R63" si="26">SUM(L56,Q56)</f>
        <v>3135261.8999999994</v>
      </c>
      <c r="S56" s="14">
        <f t="shared" si="22"/>
        <v>2845351.7999999993</v>
      </c>
    </row>
    <row r="57" spans="1:19" s="51" customFormat="1">
      <c r="A57" s="15">
        <v>44012</v>
      </c>
      <c r="B57" s="14">
        <v>309848.40000000002</v>
      </c>
      <c r="C57" s="14">
        <v>-647711.69999999995</v>
      </c>
      <c r="D57" s="14">
        <f t="shared" si="23"/>
        <v>-337863.29999999993</v>
      </c>
      <c r="E57" s="14">
        <v>0</v>
      </c>
      <c r="F57" s="14">
        <v>1506361.8</v>
      </c>
      <c r="G57" s="14">
        <f>16243.7+101272.9+0+21.1+5357.5</f>
        <v>122895.2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1826380.2000000002</v>
      </c>
      <c r="M57" s="14">
        <v>29679</v>
      </c>
      <c r="N57" s="14">
        <v>1477533.4000000001</v>
      </c>
      <c r="O57" s="54">
        <v>328.2</v>
      </c>
      <c r="P57" s="54">
        <f t="shared" ref="P57" si="27">157.9+0+0+13851.3</f>
        <v>14009.199999999999</v>
      </c>
      <c r="Q57" s="14">
        <f t="shared" si="25"/>
        <v>1521549.8</v>
      </c>
      <c r="R57" s="14">
        <f t="shared" si="26"/>
        <v>3347930</v>
      </c>
      <c r="S57" s="14">
        <f t="shared" si="22"/>
        <v>3010066.7</v>
      </c>
    </row>
    <row r="58" spans="1:19" s="51" customFormat="1">
      <c r="A58" s="15">
        <v>44104</v>
      </c>
      <c r="B58" s="14">
        <v>371801.1</v>
      </c>
      <c r="C58" s="14">
        <v>-655416.29999999993</v>
      </c>
      <c r="D58" s="14">
        <f t="shared" si="23"/>
        <v>-283615.19999999995</v>
      </c>
      <c r="E58" s="14">
        <v>0</v>
      </c>
      <c r="F58" s="14">
        <v>1579323.1</v>
      </c>
      <c r="G58" s="14">
        <f>19611.4+127969.7+42.1+25822.8+150000</f>
        <v>323446</v>
      </c>
      <c r="H58" s="52">
        <v>12539.7</v>
      </c>
      <c r="I58" s="52">
        <v>713120.2</v>
      </c>
      <c r="J58" s="53">
        <v>-491610.60000000009</v>
      </c>
      <c r="K58" s="14">
        <f>-76711.2-42.1</f>
        <v>-76753.3</v>
      </c>
      <c r="L58" s="14">
        <f t="shared" ref="L58" si="28">SUM( (E58:K58))</f>
        <v>2060065.0999999999</v>
      </c>
      <c r="M58" s="14">
        <v>30729.4</v>
      </c>
      <c r="N58" s="14">
        <f>1497273.1+83422.1-157.9-0-0-15037.6</f>
        <v>1565499.7000000002</v>
      </c>
      <c r="O58" s="54">
        <v>311</v>
      </c>
      <c r="P58" s="54">
        <f>157.9+0+0+15037.6</f>
        <v>15195.5</v>
      </c>
      <c r="Q58" s="14">
        <f t="shared" si="25"/>
        <v>1611735.6</v>
      </c>
      <c r="R58" s="14">
        <f t="shared" si="26"/>
        <v>3671800.7</v>
      </c>
      <c r="S58" s="14">
        <f t="shared" si="22"/>
        <v>3388185.5</v>
      </c>
    </row>
    <row r="59" spans="1:19" s="51" customFormat="1">
      <c r="A59" s="15">
        <v>44196</v>
      </c>
      <c r="B59" s="14">
        <v>456497.4</v>
      </c>
      <c r="C59" s="14">
        <v>-662962.19999999995</v>
      </c>
      <c r="D59" s="14">
        <f t="shared" si="23"/>
        <v>-206464.79999999993</v>
      </c>
      <c r="E59" s="14">
        <v>0</v>
      </c>
      <c r="F59" s="14">
        <v>1655938</v>
      </c>
      <c r="G59" s="14">
        <f>18210.4+124159.9+63.2+27463+150000+2000</f>
        <v>321896.5</v>
      </c>
      <c r="H59" s="52">
        <v>6921.2</v>
      </c>
      <c r="I59" s="52">
        <v>708283.6</v>
      </c>
      <c r="J59" s="53">
        <v>-555970.31651700009</v>
      </c>
      <c r="K59" s="14">
        <v>-72918.899999999994</v>
      </c>
      <c r="L59" s="14">
        <f t="shared" ref="L59:L60" si="29">SUM( (E59:K59))</f>
        <v>2064150.0834829998</v>
      </c>
      <c r="M59" s="14">
        <f>22344.7+101.6</f>
        <v>22446.3</v>
      </c>
      <c r="N59" s="14">
        <f>1580673.5+78748.6-157.9-0-0-13307.6</f>
        <v>1645956.6</v>
      </c>
      <c r="O59" s="54">
        <v>1185.1999999999998</v>
      </c>
      <c r="P59" s="54">
        <f>157.9+0+0+13307.6</f>
        <v>13465.5</v>
      </c>
      <c r="Q59" s="14">
        <f t="shared" si="25"/>
        <v>1683053.6</v>
      </c>
      <c r="R59" s="14">
        <f t="shared" si="26"/>
        <v>3747203.6834829999</v>
      </c>
      <c r="S59" s="14">
        <f t="shared" si="22"/>
        <v>3540738.8834830001</v>
      </c>
    </row>
    <row r="60" spans="1:19" s="51" customFormat="1">
      <c r="A60" s="15">
        <v>44286</v>
      </c>
      <c r="B60" s="14">
        <v>433350.50000000006</v>
      </c>
      <c r="C60" s="14">
        <v>-662899.39999999991</v>
      </c>
      <c r="D60" s="14">
        <f t="shared" si="23"/>
        <v>-229548.89999999985</v>
      </c>
      <c r="E60" s="14">
        <v>0</v>
      </c>
      <c r="F60" s="14">
        <v>1691981.5</v>
      </c>
      <c r="G60" s="14">
        <f>28954.5+146454.9+63.2+0+150000+2000+4668.9</f>
        <v>332141.5</v>
      </c>
      <c r="H60" s="52">
        <v>4134.6000000000004</v>
      </c>
      <c r="I60" s="52">
        <v>703262.9</v>
      </c>
      <c r="J60" s="53">
        <v>-576480.80000000005</v>
      </c>
      <c r="K60" s="14">
        <v>-79893.7</v>
      </c>
      <c r="L60" s="14">
        <f t="shared" si="29"/>
        <v>2075146.0000000002</v>
      </c>
      <c r="M60" s="14">
        <f>24587.6+101.6</f>
        <v>24689.199999999997</v>
      </c>
      <c r="N60" s="14">
        <f>1703268+76222.9-157.9-0-0-13045.1</f>
        <v>1766287.9</v>
      </c>
      <c r="O60" s="54">
        <v>734.60000000000014</v>
      </c>
      <c r="P60" s="54">
        <f>157.9+0+0+13045.1</f>
        <v>13203</v>
      </c>
      <c r="Q60" s="14">
        <f t="shared" si="25"/>
        <v>1804914.7</v>
      </c>
      <c r="R60" s="14">
        <f t="shared" si="26"/>
        <v>3880060.7</v>
      </c>
      <c r="S60" s="14">
        <f t="shared" si="22"/>
        <v>3650511.8000000003</v>
      </c>
    </row>
    <row r="61" spans="1:19" s="51" customFormat="1">
      <c r="A61" s="15">
        <v>44377</v>
      </c>
      <c r="B61" s="14">
        <v>377066.70000000007</v>
      </c>
      <c r="C61" s="14">
        <v>-682853.8</v>
      </c>
      <c r="D61" s="14">
        <f t="shared" ref="D61:D63" si="30">SUM(B61:C61)</f>
        <v>-305787.09999999998</v>
      </c>
      <c r="E61" s="14">
        <v>57076.7</v>
      </c>
      <c r="F61" s="14">
        <v>1761707.1</v>
      </c>
      <c r="G61" s="14">
        <v>350807.02999999997</v>
      </c>
      <c r="H61" s="52">
        <v>0</v>
      </c>
      <c r="I61" s="52">
        <v>701028.8</v>
      </c>
      <c r="J61" s="53">
        <v>-632802</v>
      </c>
      <c r="K61" s="14">
        <v>-82601.5</v>
      </c>
      <c r="L61" s="14">
        <f t="shared" ref="L61:L62" si="31">SUM( (E61:K61))</f>
        <v>2155216.13</v>
      </c>
      <c r="M61" s="14">
        <f>26128+101.6</f>
        <v>26229.599999999999</v>
      </c>
      <c r="N61" s="14">
        <f>1934198.2+76675-157.9-0-0-12836.2</f>
        <v>1997879.1</v>
      </c>
      <c r="O61" s="54">
        <v>5539.4</v>
      </c>
      <c r="P61" s="54">
        <f>157.9+0+0+12836.2</f>
        <v>12994.1</v>
      </c>
      <c r="Q61" s="14">
        <f t="shared" si="25"/>
        <v>2042642.2000000002</v>
      </c>
      <c r="R61" s="14">
        <f t="shared" si="26"/>
        <v>4197858.33</v>
      </c>
      <c r="S61" s="14">
        <f t="shared" si="22"/>
        <v>3892071.23</v>
      </c>
    </row>
    <row r="62" spans="1:19" s="51" customFormat="1" ht="18">
      <c r="A62" s="15" t="s">
        <v>70</v>
      </c>
      <c r="B62" s="14">
        <v>804427.99999999988</v>
      </c>
      <c r="C62" s="14">
        <v>-1209942</v>
      </c>
      <c r="D62" s="14">
        <f t="shared" si="30"/>
        <v>-405514.00000000012</v>
      </c>
      <c r="E62" s="14">
        <v>0</v>
      </c>
      <c r="F62" s="14">
        <v>1859172.4</v>
      </c>
      <c r="G62" s="14">
        <f>23801.5+150000+11960.4+4668.9+29176.1+10252+120867.1+0</f>
        <v>350726</v>
      </c>
      <c r="H62" s="52">
        <v>0</v>
      </c>
      <c r="I62" s="52">
        <v>697339.3</v>
      </c>
      <c r="J62" s="53">
        <v>-660525.29999999993</v>
      </c>
      <c r="K62" s="14">
        <v>-81058.799999999988</v>
      </c>
      <c r="L62" s="14">
        <f t="shared" si="31"/>
        <v>2165653.6000000006</v>
      </c>
      <c r="M62" s="14">
        <f>25613.6+101.6</f>
        <v>25715.199999999997</v>
      </c>
      <c r="N62" s="14">
        <f>2183770.8+82048.6-157.9-0-0-12836.2</f>
        <v>2252825.2999999998</v>
      </c>
      <c r="O62" s="54">
        <v>337.9</v>
      </c>
      <c r="P62" s="54">
        <f>157.9+0+0+12836.2</f>
        <v>12994.1</v>
      </c>
      <c r="Q62" s="14">
        <f t="shared" si="25"/>
        <v>2291872.5</v>
      </c>
      <c r="R62" s="14">
        <f t="shared" si="26"/>
        <v>4457526.1000000006</v>
      </c>
      <c r="S62" s="14">
        <f t="shared" si="22"/>
        <v>4052012.1000000006</v>
      </c>
    </row>
    <row r="63" spans="1:19" s="51" customFormat="1" ht="18">
      <c r="A63" s="15" t="s">
        <v>75</v>
      </c>
      <c r="B63" s="14">
        <v>788996.90000000014</v>
      </c>
      <c r="C63" s="14">
        <v>-1111706.1000000001</v>
      </c>
      <c r="D63" s="14">
        <f t="shared" si="30"/>
        <v>-322709.19999999995</v>
      </c>
      <c r="E63" s="14">
        <v>36124.9</v>
      </c>
      <c r="F63" s="14">
        <f>0+0+135495.9+1574632.6+105929.2+25151.5+2639.1+0</f>
        <v>1843848.3</v>
      </c>
      <c r="G63" s="14">
        <f>17657.2+0+113333.3+17520.8+4668.9+28191.3+10728.2+101510.8</f>
        <v>293610.5</v>
      </c>
      <c r="H63" s="52">
        <v>0</v>
      </c>
      <c r="I63" s="52">
        <v>690961.7</v>
      </c>
      <c r="J63" s="53">
        <v>-834043.8</v>
      </c>
      <c r="K63" s="14">
        <v>-75800.899999999994</v>
      </c>
      <c r="L63" s="14">
        <f t="shared" ref="L63" si="32">SUM( (E63:K63))</f>
        <v>1954700.7000000004</v>
      </c>
      <c r="M63" s="14">
        <f>24993.2+101.6</f>
        <v>25094.799999999999</v>
      </c>
      <c r="N63" s="14">
        <f>2374179.6+82126.2-157.9-0-0-12836.2</f>
        <v>2443311.7000000002</v>
      </c>
      <c r="O63" s="54">
        <v>256.5</v>
      </c>
      <c r="P63" s="54">
        <f>157.9+0+0+12836.2</f>
        <v>12994.1</v>
      </c>
      <c r="Q63" s="14">
        <f t="shared" si="25"/>
        <v>2481657.1</v>
      </c>
      <c r="R63" s="14">
        <f t="shared" si="26"/>
        <v>4436357.8000000007</v>
      </c>
      <c r="S63" s="14">
        <f t="shared" si="22"/>
        <v>4113648.6000000006</v>
      </c>
    </row>
    <row r="64" spans="1:19" s="51" customFormat="1">
      <c r="A64" s="64" t="s">
        <v>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6"/>
    </row>
    <row r="65" spans="1:19" s="51" customFormat="1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</row>
    <row r="66" spans="1:19" s="17" customFormat="1">
      <c r="A66" s="3"/>
      <c r="B66" s="5"/>
      <c r="C66" s="5"/>
      <c r="D66" s="5"/>
      <c r="E66" s="5"/>
      <c r="F66" s="5"/>
      <c r="G66" s="5"/>
      <c r="H66" s="5"/>
      <c r="I66" s="5"/>
      <c r="J66" s="5"/>
      <c r="K66" s="6"/>
      <c r="L66" s="5"/>
      <c r="M66" s="5" t="s">
        <v>6</v>
      </c>
      <c r="N66" s="5"/>
      <c r="O66" s="9"/>
      <c r="P66" s="9"/>
      <c r="Q66" s="5"/>
      <c r="R66" s="5"/>
      <c r="S66" s="5"/>
    </row>
  </sheetData>
  <mergeCells count="9">
    <mergeCell ref="A64:S65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4"/>
  <sheetViews>
    <sheetView workbookViewId="0">
      <pane xSplit="1" ySplit="7" topLeftCell="R11" activePane="bottomRight" state="frozen"/>
      <selection pane="topRight" activeCell="B1" sqref="B1"/>
      <selection pane="bottomLeft" activeCell="A8" sqref="A8"/>
      <selection pane="bottomRight" activeCell="T20" sqref="T20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>
      <c r="A19" s="56">
        <v>2019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1372987.2000000002</v>
      </c>
      <c r="G19" s="14">
        <v>73541.599999999991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1646191.7000000002</v>
      </c>
      <c r="M19" s="14">
        <v>42179.299999999988</v>
      </c>
      <c r="N19" s="14">
        <v>1340910.8000000003</v>
      </c>
      <c r="O19" s="54">
        <v>458.5</v>
      </c>
      <c r="P19" s="54">
        <v>13691.699999999999</v>
      </c>
      <c r="Q19" s="14">
        <f>SUM(M19:P19)</f>
        <v>1397240.3000000003</v>
      </c>
      <c r="R19" s="14">
        <f>SUM(L19,Q19)</f>
        <v>3043432.0000000005</v>
      </c>
      <c r="S19" s="14">
        <f t="shared" ref="S19:S21" si="12">SUM(D19,R19)</f>
        <v>2828410.4000000004</v>
      </c>
    </row>
    <row r="20" spans="1:19" s="51" customFormat="1">
      <c r="A20" s="56">
        <v>2020</v>
      </c>
      <c r="B20" s="14">
        <v>456497.4</v>
      </c>
      <c r="C20" s="14">
        <v>-662962.19999999995</v>
      </c>
      <c r="D20" s="14">
        <f t="shared" si="10"/>
        <v>-206464.79999999993</v>
      </c>
      <c r="E20" s="14">
        <v>0</v>
      </c>
      <c r="F20" s="14">
        <v>1655938</v>
      </c>
      <c r="G20" s="14">
        <f>18210.4+124159.9+63.2+27463+150000+2000</f>
        <v>321896.5</v>
      </c>
      <c r="H20" s="52">
        <v>6921.2</v>
      </c>
      <c r="I20" s="52">
        <v>708283.6</v>
      </c>
      <c r="J20" s="53">
        <v>-555970.31651700009</v>
      </c>
      <c r="K20" s="14">
        <v>-72918.899999999994</v>
      </c>
      <c r="L20" s="14">
        <f t="shared" ref="L20" si="13">SUM( (E20:K20))</f>
        <v>2064150.0834829998</v>
      </c>
      <c r="M20" s="14">
        <f>22344.7+101.6</f>
        <v>22446.3</v>
      </c>
      <c r="N20" s="14">
        <f>1580673.5+78748.6-157.9-0-0-13307.6</f>
        <v>1645956.6</v>
      </c>
      <c r="O20" s="54">
        <v>1185.1999999999998</v>
      </c>
      <c r="P20" s="54">
        <f>157.9+0+0+13307.6</f>
        <v>13465.5</v>
      </c>
      <c r="Q20" s="14">
        <f t="shared" ref="Q20:Q21" si="14">SUM(M20:P20)</f>
        <v>1683053.6</v>
      </c>
      <c r="R20" s="14">
        <f t="shared" ref="R20:R21" si="15">SUM(L20,Q20)</f>
        <v>3747203.6834829999</v>
      </c>
      <c r="S20" s="14">
        <f t="shared" si="12"/>
        <v>3540738.8834830001</v>
      </c>
    </row>
    <row r="21" spans="1:19" s="51" customFormat="1">
      <c r="A21" s="56">
        <v>2021</v>
      </c>
      <c r="B21" s="14">
        <v>788996.90000000014</v>
      </c>
      <c r="C21" s="14">
        <v>-1111706.1000000001</v>
      </c>
      <c r="D21" s="14">
        <f t="shared" ref="D21" si="16">SUM(B21:C21)</f>
        <v>-322709.19999999995</v>
      </c>
      <c r="E21" s="14">
        <v>36124.9</v>
      </c>
      <c r="F21" s="14">
        <f>0+0+135495.9+1574632.6+105929.2+25151.5+2639.1+0</f>
        <v>1843848.3</v>
      </c>
      <c r="G21" s="14">
        <f>17657.2+0+113333.3+17520.8+4668.9+28191.3+10728.2+101510.8</f>
        <v>293610.5</v>
      </c>
      <c r="H21" s="52">
        <v>0</v>
      </c>
      <c r="I21" s="52">
        <v>690961.7</v>
      </c>
      <c r="J21" s="53">
        <v>-834043.8</v>
      </c>
      <c r="K21" s="14">
        <v>-75800.899999999994</v>
      </c>
      <c r="L21" s="14">
        <f t="shared" ref="L21" si="17">SUM( (E21:K21))</f>
        <v>1954700.7000000004</v>
      </c>
      <c r="M21" s="14">
        <f>24993.2+101.6</f>
        <v>25094.799999999999</v>
      </c>
      <c r="N21" s="14">
        <f>2374179.6+82126.2-157.9-0-0-12836.2</f>
        <v>2443311.7000000002</v>
      </c>
      <c r="O21" s="54">
        <v>256.5</v>
      </c>
      <c r="P21" s="54">
        <f>157.9+0+0+12836.2</f>
        <v>12994.1</v>
      </c>
      <c r="Q21" s="14">
        <f t="shared" si="14"/>
        <v>2481657.1</v>
      </c>
      <c r="R21" s="14">
        <f t="shared" si="15"/>
        <v>4436357.8000000007</v>
      </c>
      <c r="S21" s="14">
        <f t="shared" si="12"/>
        <v>4113648.6000000006</v>
      </c>
    </row>
    <row r="22" spans="1:19" s="51" customFormat="1">
      <c r="A22" s="64" t="s">
        <v>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</row>
    <row r="23" spans="1:19" s="51" customForma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</row>
    <row r="24" spans="1:19" s="17" customFormat="1"/>
  </sheetData>
  <mergeCells count="9">
    <mergeCell ref="A22:S23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2022-05-04T06:08:46Z</dcterms:modified>
</cp:coreProperties>
</file>