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 tabRatio="604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58" i="4" l="1"/>
  <c r="N58" i="4"/>
  <c r="M58" i="4"/>
  <c r="Q58" i="4" s="1"/>
  <c r="L58" i="4"/>
  <c r="R58" i="4" s="1"/>
  <c r="G58" i="4"/>
  <c r="F58" i="4"/>
  <c r="D58" i="4"/>
  <c r="S58" i="4" s="1"/>
  <c r="P160" i="3"/>
  <c r="N160" i="3"/>
  <c r="M160" i="3"/>
  <c r="Q160" i="3" s="1"/>
  <c r="G160" i="3"/>
  <c r="L160" i="3" s="1"/>
  <c r="R160" i="3" s="1"/>
  <c r="F160" i="3"/>
  <c r="D160" i="3"/>
  <c r="S160" i="3" l="1"/>
  <c r="P57" i="4"/>
  <c r="N57" i="4"/>
  <c r="M57" i="4"/>
  <c r="Q57" i="4" s="1"/>
  <c r="G57" i="4"/>
  <c r="F57" i="4"/>
  <c r="L57" i="4" s="1"/>
  <c r="R57" i="4" s="1"/>
  <c r="S57" i="4" s="1"/>
  <c r="D57" i="4"/>
  <c r="P56" i="4"/>
  <c r="N56" i="4"/>
  <c r="M56" i="4"/>
  <c r="Q56" i="4" s="1"/>
  <c r="G56" i="4"/>
  <c r="F56" i="4"/>
  <c r="D56" i="4"/>
  <c r="P159" i="3"/>
  <c r="N159" i="3"/>
  <c r="M159" i="3"/>
  <c r="G159" i="3"/>
  <c r="F159" i="3"/>
  <c r="D159" i="3"/>
  <c r="P158" i="3"/>
  <c r="N158" i="3"/>
  <c r="M158" i="3"/>
  <c r="G158" i="3"/>
  <c r="F158" i="3"/>
  <c r="L158" i="3" s="1"/>
  <c r="D158" i="3"/>
  <c r="P157" i="3"/>
  <c r="N157" i="3"/>
  <c r="M157" i="3"/>
  <c r="G157" i="3"/>
  <c r="F157" i="3"/>
  <c r="L157" i="3" s="1"/>
  <c r="D157" i="3"/>
  <c r="P156" i="3"/>
  <c r="N156" i="3"/>
  <c r="Q156" i="3" s="1"/>
  <c r="M156" i="3"/>
  <c r="G156" i="3"/>
  <c r="F156" i="3"/>
  <c r="D156" i="3"/>
  <c r="P155" i="3"/>
  <c r="N155" i="3"/>
  <c r="M155" i="3"/>
  <c r="Q155" i="3" s="1"/>
  <c r="G155" i="3"/>
  <c r="L155" i="3" s="1"/>
  <c r="R155" i="3" s="1"/>
  <c r="S155" i="3" s="1"/>
  <c r="F155" i="3"/>
  <c r="D155" i="3"/>
  <c r="P154" i="3"/>
  <c r="N154" i="3"/>
  <c r="M154" i="3"/>
  <c r="G154" i="3"/>
  <c r="F154" i="3"/>
  <c r="L154" i="3" s="1"/>
  <c r="D154" i="3"/>
  <c r="P153" i="3"/>
  <c r="Q153" i="3" s="1"/>
  <c r="N153" i="3"/>
  <c r="M153" i="3"/>
  <c r="G153" i="3"/>
  <c r="L153" i="3" s="1"/>
  <c r="D153" i="3"/>
  <c r="P152" i="3"/>
  <c r="N152" i="3"/>
  <c r="Q152" i="3" s="1"/>
  <c r="M152" i="3"/>
  <c r="G152" i="3"/>
  <c r="L152" i="3" s="1"/>
  <c r="D152" i="3"/>
  <c r="L56" i="4" l="1"/>
  <c r="R56" i="4" s="1"/>
  <c r="S56" i="4" s="1"/>
  <c r="Q157" i="3"/>
  <c r="R153" i="3"/>
  <c r="S153" i="3" s="1"/>
  <c r="L159" i="3"/>
  <c r="Q154" i="3"/>
  <c r="R154" i="3" s="1"/>
  <c r="S154" i="3" s="1"/>
  <c r="Q159" i="3"/>
  <c r="R152" i="3"/>
  <c r="L156" i="3"/>
  <c r="R156" i="3" s="1"/>
  <c r="Q158" i="3"/>
  <c r="S152" i="3"/>
  <c r="S156" i="3"/>
  <c r="R157" i="3"/>
  <c r="S157" i="3" s="1"/>
  <c r="R158" i="3"/>
  <c r="S158" i="3" s="1"/>
  <c r="R159" i="3" l="1"/>
  <c r="S159" i="3" s="1"/>
  <c r="Q19" i="5"/>
  <c r="L19" i="5"/>
  <c r="R19" i="5" s="1"/>
  <c r="D19" i="5"/>
  <c r="S19" i="5" s="1"/>
  <c r="Q55" i="4"/>
  <c r="L55" i="4"/>
  <c r="D55" i="4"/>
  <c r="Q54" i="4"/>
  <c r="L54" i="4"/>
  <c r="D54" i="4"/>
  <c r="Q53" i="4"/>
  <c r="L53" i="4"/>
  <c r="D53" i="4"/>
  <c r="Q52" i="4"/>
  <c r="L52" i="4"/>
  <c r="D52" i="4"/>
  <c r="Q151" i="3"/>
  <c r="L151" i="3"/>
  <c r="D151" i="3"/>
  <c r="Q150" i="3"/>
  <c r="L150" i="3"/>
  <c r="D150" i="3"/>
  <c r="Q149" i="3"/>
  <c r="L149" i="3"/>
  <c r="R149" i="3" s="1"/>
  <c r="D149" i="3"/>
  <c r="S149" i="3" s="1"/>
  <c r="Q148" i="3"/>
  <c r="L148" i="3"/>
  <c r="D148" i="3"/>
  <c r="Q147" i="3"/>
  <c r="L147" i="3"/>
  <c r="D147" i="3"/>
  <c r="Q146" i="3"/>
  <c r="L146" i="3"/>
  <c r="R146" i="3" s="1"/>
  <c r="D146" i="3"/>
  <c r="Q145" i="3"/>
  <c r="L145" i="3"/>
  <c r="D145" i="3"/>
  <c r="Q144" i="3"/>
  <c r="L144" i="3"/>
  <c r="R144" i="3" s="1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R147" i="3" l="1"/>
  <c r="R55" i="4"/>
  <c r="S55" i="4" s="1"/>
  <c r="R53" i="4"/>
  <c r="S53" i="4" s="1"/>
  <c r="R54" i="4"/>
  <c r="S54" i="4" s="1"/>
  <c r="R52" i="4"/>
  <c r="S52" i="4" s="1"/>
  <c r="R142" i="3"/>
  <c r="S142" i="3" s="1"/>
  <c r="R150" i="3"/>
  <c r="S150" i="3" s="1"/>
  <c r="R143" i="3"/>
  <c r="S143" i="3" s="1"/>
  <c r="S146" i="3"/>
  <c r="R151" i="3"/>
  <c r="S151" i="3" s="1"/>
  <c r="S141" i="3"/>
  <c r="S144" i="3"/>
  <c r="S147" i="3"/>
  <c r="R140" i="3"/>
  <c r="S140" i="3" s="1"/>
  <c r="R145" i="3"/>
  <c r="S145" i="3" s="1"/>
  <c r="R148" i="3"/>
  <c r="S148" i="3" s="1"/>
  <c r="Q18" i="5"/>
  <c r="L18" i="5"/>
  <c r="D18" i="5"/>
  <c r="Q17" i="5"/>
  <c r="L17" i="5"/>
  <c r="R17" i="5" s="1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R137" i="3" s="1"/>
  <c r="D137" i="3"/>
  <c r="Q136" i="3"/>
  <c r="L136" i="3"/>
  <c r="R136" i="3" s="1"/>
  <c r="S136" i="3" s="1"/>
  <c r="D136" i="3"/>
  <c r="Q135" i="3"/>
  <c r="L135" i="3"/>
  <c r="D135" i="3"/>
  <c r="Q134" i="3"/>
  <c r="L134" i="3"/>
  <c r="D134" i="3"/>
  <c r="Q133" i="3"/>
  <c r="L133" i="3"/>
  <c r="D133" i="3"/>
  <c r="Q132" i="3"/>
  <c r="L132" i="3"/>
  <c r="R132" i="3" s="1"/>
  <c r="D132" i="3"/>
  <c r="Q131" i="3"/>
  <c r="L131" i="3"/>
  <c r="D131" i="3"/>
  <c r="Q130" i="3"/>
  <c r="L130" i="3"/>
  <c r="D130" i="3"/>
  <c r="Q129" i="3"/>
  <c r="R129" i="3" s="1"/>
  <c r="S129" i="3" s="1"/>
  <c r="L129" i="3"/>
  <c r="D129" i="3"/>
  <c r="Q128" i="3"/>
  <c r="L128" i="3"/>
  <c r="R128" i="3" s="1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R123" i="3" s="1"/>
  <c r="D123" i="3"/>
  <c r="Q122" i="3"/>
  <c r="L122" i="3"/>
  <c r="D122" i="3"/>
  <c r="Q121" i="3"/>
  <c r="L121" i="3"/>
  <c r="D121" i="3"/>
  <c r="Q120" i="3"/>
  <c r="L120" i="3"/>
  <c r="R120" i="3" s="1"/>
  <c r="D120" i="3"/>
  <c r="Q119" i="3"/>
  <c r="L119" i="3"/>
  <c r="D119" i="3"/>
  <c r="Q118" i="3"/>
  <c r="L118" i="3"/>
  <c r="D118" i="3"/>
  <c r="Q117" i="3"/>
  <c r="L117" i="3"/>
  <c r="D117" i="3"/>
  <c r="Q116" i="3"/>
  <c r="R116" i="3" s="1"/>
  <c r="L116" i="3"/>
  <c r="D116" i="3"/>
  <c r="Q115" i="3"/>
  <c r="L115" i="3"/>
  <c r="R115" i="3" s="1"/>
  <c r="D115" i="3"/>
  <c r="Q114" i="3"/>
  <c r="L114" i="3"/>
  <c r="R114" i="3" s="1"/>
  <c r="D114" i="3"/>
  <c r="Q113" i="3"/>
  <c r="L113" i="3"/>
  <c r="R113" i="3" s="1"/>
  <c r="S113" i="3" s="1"/>
  <c r="D113" i="3"/>
  <c r="Q112" i="3"/>
  <c r="L112" i="3"/>
  <c r="D112" i="3"/>
  <c r="Q111" i="3"/>
  <c r="L111" i="3"/>
  <c r="D111" i="3"/>
  <c r="Q110" i="3"/>
  <c r="R110" i="3" s="1"/>
  <c r="L110" i="3"/>
  <c r="D110" i="3"/>
  <c r="Q109" i="3"/>
  <c r="L109" i="3"/>
  <c r="D109" i="3"/>
  <c r="Q108" i="3"/>
  <c r="L108" i="3"/>
  <c r="D108" i="3"/>
  <c r="Q107" i="3"/>
  <c r="L107" i="3"/>
  <c r="R107" i="3" s="1"/>
  <c r="D107" i="3"/>
  <c r="Q106" i="3"/>
  <c r="L106" i="3"/>
  <c r="R106" i="3" s="1"/>
  <c r="D106" i="3"/>
  <c r="Q105" i="3"/>
  <c r="L105" i="3"/>
  <c r="D105" i="3"/>
  <c r="Q104" i="3"/>
  <c r="L104" i="3"/>
  <c r="R104" i="3" s="1"/>
  <c r="D104" i="3"/>
  <c r="Q103" i="3"/>
  <c r="L103" i="3"/>
  <c r="D103" i="3"/>
  <c r="Q102" i="3"/>
  <c r="L102" i="3"/>
  <c r="Q101" i="3"/>
  <c r="L101" i="3"/>
  <c r="R101" i="3" s="1"/>
  <c r="D101" i="3"/>
  <c r="Q100" i="3"/>
  <c r="L100" i="3"/>
  <c r="R100" i="3" s="1"/>
  <c r="S100" i="3" s="1"/>
  <c r="D100" i="3"/>
  <c r="Q99" i="3"/>
  <c r="L99" i="3"/>
  <c r="D99" i="3"/>
  <c r="Q98" i="3"/>
  <c r="L98" i="3"/>
  <c r="D98" i="3"/>
  <c r="Q97" i="3"/>
  <c r="R97" i="3" s="1"/>
  <c r="L97" i="3"/>
  <c r="D97" i="3"/>
  <c r="Q96" i="3"/>
  <c r="L96" i="3"/>
  <c r="D96" i="3"/>
  <c r="Q95" i="3"/>
  <c r="L95" i="3"/>
  <c r="R95" i="3" s="1"/>
  <c r="D95" i="3"/>
  <c r="Q94" i="3"/>
  <c r="L94" i="3"/>
  <c r="R94" i="3" s="1"/>
  <c r="S94" i="3" s="1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R79" i="3" s="1"/>
  <c r="D79" i="3"/>
  <c r="Q78" i="3"/>
  <c r="L78" i="3"/>
  <c r="D78" i="3"/>
  <c r="Q77" i="3"/>
  <c r="L77" i="3"/>
  <c r="D77" i="3"/>
  <c r="Q76" i="3"/>
  <c r="L76" i="3"/>
  <c r="D76" i="3"/>
  <c r="Q75" i="3"/>
  <c r="L75" i="3"/>
  <c r="R75" i="3" s="1"/>
  <c r="D75" i="3"/>
  <c r="Q74" i="3"/>
  <c r="L74" i="3"/>
  <c r="D74" i="3"/>
  <c r="Q73" i="3"/>
  <c r="L73" i="3"/>
  <c r="D73" i="3"/>
  <c r="Q72" i="3"/>
  <c r="L72" i="3"/>
  <c r="D72" i="3"/>
  <c r="Q71" i="3"/>
  <c r="L71" i="3"/>
  <c r="R71" i="3" s="1"/>
  <c r="D71" i="3"/>
  <c r="Q70" i="3"/>
  <c r="L70" i="3"/>
  <c r="D70" i="3"/>
  <c r="Q69" i="3"/>
  <c r="L69" i="3"/>
  <c r="D69" i="3"/>
  <c r="Q68" i="3"/>
  <c r="L68" i="3"/>
  <c r="R68" i="3" s="1"/>
  <c r="D68" i="3"/>
  <c r="Q67" i="3"/>
  <c r="L67" i="3"/>
  <c r="R67" i="3" s="1"/>
  <c r="S67" i="3" s="1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R62" i="3" s="1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R53" i="3" s="1"/>
  <c r="D53" i="3"/>
  <c r="Q52" i="3"/>
  <c r="L52" i="3"/>
  <c r="R52" i="3" s="1"/>
  <c r="D52" i="3"/>
  <c r="Q51" i="3"/>
  <c r="L51" i="3"/>
  <c r="R51" i="3" s="1"/>
  <c r="S51" i="3" s="1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R45" i="3" s="1"/>
  <c r="D45" i="3"/>
  <c r="Q44" i="3"/>
  <c r="L44" i="3"/>
  <c r="R44" i="3" s="1"/>
  <c r="D44" i="3"/>
  <c r="Q43" i="3"/>
  <c r="L43" i="3"/>
  <c r="R43" i="3" s="1"/>
  <c r="S43" i="3" s="1"/>
  <c r="D43" i="3"/>
  <c r="R47" i="4" l="1"/>
  <c r="R92" i="3"/>
  <c r="S45" i="3"/>
  <c r="R47" i="3"/>
  <c r="R50" i="3"/>
  <c r="R55" i="3"/>
  <c r="R58" i="3"/>
  <c r="R122" i="3"/>
  <c r="S107" i="3"/>
  <c r="S115" i="3"/>
  <c r="R117" i="3"/>
  <c r="S120" i="3"/>
  <c r="S128" i="3"/>
  <c r="R48" i="3"/>
  <c r="R83" i="3"/>
  <c r="R91" i="3"/>
  <c r="R59" i="3"/>
  <c r="R105" i="3"/>
  <c r="S105" i="3" s="1"/>
  <c r="R13" i="5"/>
  <c r="R40" i="4"/>
  <c r="R48" i="4"/>
  <c r="R46" i="4"/>
  <c r="S46" i="4" s="1"/>
  <c r="R49" i="4"/>
  <c r="S49" i="4" s="1"/>
  <c r="R34" i="4"/>
  <c r="S34" i="4" s="1"/>
  <c r="R41" i="4"/>
  <c r="S41" i="4" s="1"/>
  <c r="R50" i="4"/>
  <c r="S50" i="4" s="1"/>
  <c r="R45" i="4"/>
  <c r="S45" i="4" s="1"/>
  <c r="R43" i="4"/>
  <c r="S43" i="4" s="1"/>
  <c r="R31" i="4"/>
  <c r="S31" i="4" s="1"/>
  <c r="R44" i="4"/>
  <c r="S47" i="4"/>
  <c r="R24" i="4"/>
  <c r="S24" i="4" s="1"/>
  <c r="R32" i="4"/>
  <c r="S32" i="4" s="1"/>
  <c r="R25" i="4"/>
  <c r="S25" i="4" s="1"/>
  <c r="R33" i="4"/>
  <c r="S33" i="4" s="1"/>
  <c r="R30" i="4"/>
  <c r="R28" i="4"/>
  <c r="S28" i="4" s="1"/>
  <c r="R29" i="4"/>
  <c r="S29" i="4" s="1"/>
  <c r="S44" i="4"/>
  <c r="R27" i="4"/>
  <c r="S27" i="4" s="1"/>
  <c r="S44" i="3"/>
  <c r="R80" i="3"/>
  <c r="R88" i="3"/>
  <c r="S88" i="3" s="1"/>
  <c r="S104" i="3"/>
  <c r="R96" i="3"/>
  <c r="S96" i="3" s="1"/>
  <c r="R99" i="3"/>
  <c r="S99" i="3" s="1"/>
  <c r="R109" i="3"/>
  <c r="S109" i="3" s="1"/>
  <c r="R112" i="3"/>
  <c r="S112" i="3" s="1"/>
  <c r="R135" i="3"/>
  <c r="S135" i="3" s="1"/>
  <c r="S52" i="3"/>
  <c r="S75" i="3"/>
  <c r="R60" i="3"/>
  <c r="S60" i="3" s="1"/>
  <c r="S68" i="3"/>
  <c r="R73" i="3"/>
  <c r="R76" i="3"/>
  <c r="S76" i="3" s="1"/>
  <c r="R81" i="3"/>
  <c r="R84" i="3"/>
  <c r="S84" i="3" s="1"/>
  <c r="R89" i="3"/>
  <c r="R102" i="3"/>
  <c r="S102" i="3" s="1"/>
  <c r="S123" i="3"/>
  <c r="S83" i="3"/>
  <c r="R87" i="3"/>
  <c r="S87" i="3" s="1"/>
  <c r="S97" i="3"/>
  <c r="S110" i="3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S91" i="3"/>
  <c r="R46" i="3"/>
  <c r="S46" i="3" s="1"/>
  <c r="R111" i="3"/>
  <c r="S111" i="3" s="1"/>
  <c r="R124" i="3"/>
  <c r="R134" i="3"/>
  <c r="S134" i="3" s="1"/>
  <c r="R12" i="5"/>
  <c r="S12" i="5" s="1"/>
  <c r="R15" i="5"/>
  <c r="S15" i="5" s="1"/>
  <c r="R18" i="5"/>
  <c r="S18" i="5" s="1"/>
  <c r="S13" i="5"/>
  <c r="R10" i="5"/>
  <c r="S10" i="5" s="1"/>
  <c r="R11" i="5"/>
  <c r="S11" i="5" s="1"/>
  <c r="R16" i="5"/>
  <c r="S16" i="5" s="1"/>
  <c r="R14" i="5"/>
  <c r="S14" i="5" s="1"/>
  <c r="S17" i="5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R51" i="4"/>
  <c r="S51" i="4" s="1"/>
  <c r="R22" i="4"/>
  <c r="S22" i="4" s="1"/>
  <c r="S40" i="4"/>
  <c r="R20" i="4"/>
  <c r="S20" i="4" s="1"/>
  <c r="R37" i="4"/>
  <c r="S37" i="4" s="1"/>
  <c r="R42" i="4"/>
  <c r="S42" i="4" s="1"/>
  <c r="R23" i="4"/>
  <c r="S23" i="4" s="1"/>
  <c r="R35" i="4"/>
  <c r="S35" i="4" s="1"/>
  <c r="S48" i="4"/>
  <c r="S30" i="4"/>
  <c r="S137" i="3"/>
  <c r="S81" i="3"/>
  <c r="R86" i="3"/>
  <c r="S86" i="3" s="1"/>
  <c r="R93" i="3"/>
  <c r="S93" i="3" s="1"/>
  <c r="R98" i="3"/>
  <c r="R103" i="3"/>
  <c r="S124" i="3"/>
  <c r="R130" i="3"/>
  <c r="R139" i="3"/>
  <c r="S139" i="3" s="1"/>
  <c r="R65" i="3"/>
  <c r="S65" i="3" s="1"/>
  <c r="R70" i="3"/>
  <c r="S70" i="3" s="1"/>
  <c r="R72" i="3"/>
  <c r="R77" i="3"/>
  <c r="S77" i="3" s="1"/>
  <c r="R82" i="3"/>
  <c r="S82" i="3" s="1"/>
  <c r="S101" i="3"/>
  <c r="S106" i="3"/>
  <c r="S122" i="3"/>
  <c r="S63" i="3"/>
  <c r="S89" i="3"/>
  <c r="R133" i="3"/>
  <c r="S47" i="3"/>
  <c r="R49" i="3"/>
  <c r="S49" i="3" s="1"/>
  <c r="R54" i="3"/>
  <c r="S54" i="3" s="1"/>
  <c r="R56" i="3"/>
  <c r="S56" i="3" s="1"/>
  <c r="R61" i="3"/>
  <c r="S61" i="3" s="1"/>
  <c r="R66" i="3"/>
  <c r="S66" i="3" s="1"/>
  <c r="S71" i="3"/>
  <c r="R127" i="3"/>
  <c r="S127" i="3" s="1"/>
  <c r="S133" i="3"/>
  <c r="S50" i="3"/>
  <c r="S73" i="3"/>
  <c r="R78" i="3"/>
  <c r="S78" i="3" s="1"/>
  <c r="R85" i="3"/>
  <c r="S85" i="3" s="1"/>
  <c r="R90" i="3"/>
  <c r="S90" i="3" s="1"/>
  <c r="S95" i="3"/>
  <c r="S114" i="3"/>
  <c r="S132" i="3"/>
  <c r="R138" i="3"/>
  <c r="S138" i="3" s="1"/>
  <c r="S55" i="3"/>
  <c r="S59" i="3"/>
  <c r="S92" i="3"/>
  <c r="R125" i="3"/>
  <c r="R57" i="3"/>
  <c r="S57" i="3" s="1"/>
  <c r="S62" i="3"/>
  <c r="R64" i="3"/>
  <c r="S64" i="3" s="1"/>
  <c r="R69" i="3"/>
  <c r="S69" i="3" s="1"/>
  <c r="R74" i="3"/>
  <c r="S74" i="3" s="1"/>
  <c r="S79" i="3"/>
  <c r="S98" i="3"/>
  <c r="S103" i="3"/>
  <c r="R119" i="3"/>
  <c r="S119" i="3" s="1"/>
  <c r="S130" i="3"/>
  <c r="S48" i="3"/>
  <c r="S117" i="3"/>
  <c r="S53" i="3"/>
  <c r="S58" i="3"/>
  <c r="S72" i="3"/>
  <c r="S80" i="3"/>
  <c r="S125" i="3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<sst xmlns="http://schemas.openxmlformats.org/spreadsheetml/2006/main" count="233" uniqueCount="75">
  <si>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</si>
  <si>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</si>
  <si>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</si>
  <si>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</si>
  <si>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</si>
  <si>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</si>
  <si>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</si>
  <si>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</si>
  <si>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</si>
  <si>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</si>
  <si>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</si>
  <si>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</si>
  <si>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</si>
  <si>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</si>
  <si>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</si>
  <si>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</si>
  <si>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</si>
  <si>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</si>
  <si>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</si>
  <si>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</si>
  <si>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</si>
  <si>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</si>
  <si>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</si>
  <si>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</si>
  <si>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</si>
  <si>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</si>
  <si>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</si>
  <si>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</si>
  <si>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</si>
  <si>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</si>
  <si>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</si>
  <si>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</si>
  <si>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</si>
  <si>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</si>
  <si>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</si>
  <si>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</si>
  <si>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</si>
  <si>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</si>
  <si>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</si>
  <si>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</si>
  <si>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</si>
  <si>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</si>
  <si>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</si>
  <si>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</si>
  <si>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</si>
  <si>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</si>
  <si>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</si>
  <si>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</si>
  <si>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</si>
  <si>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</si>
  <si>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</si>
  <si>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</si>
  <si>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</si>
  <si>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</si>
  <si>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</si>
  <si>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</si>
  <si>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</si>
  <si>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</si>
  <si>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</si>
  <si>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</si>
  <si>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</si>
  <si>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</si>
  <si>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</si>
  <si>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</si>
  <si>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</si>
  <si>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</si>
  <si>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</si>
  <si>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</si>
  <si>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</si>
  <si>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</si>
  <si>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</si>
  <si>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</si>
  <si>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</si>
  <si>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</si>
  <si>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September-20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</si>
</sst>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1" xfId="0" quotePrefix="1" applyNumberFormat="1" applyFont="1" applyBorder="1" applyAlignment="1" applyProtection="1"/>
    <xf numFmtId="167" fontId="4" fillId="0" borderId="2" xfId="0" quotePrefix="1" applyNumberFormat="1" applyFont="1" applyBorder="1" applyAlignment="1" applyProtection="1"/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E1" workbookViewId="0">
      <selection activeCell="E11" sqref="E11:E13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44104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73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62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7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163"/>
  <sheetViews>
    <sheetView workbookViewId="0">
      <pane xSplit="1" ySplit="7" topLeftCell="Q155" activePane="bottomRight" state="frozen"/>
      <selection pane="topRight" activeCell="B1" sqref="B1"/>
      <selection pane="bottomLeft" activeCell="A8" sqref="A8"/>
      <selection pane="bottomRight" activeCell="S160" sqref="S160"/>
    </sheetView>
  </sheetViews>
  <sheetFormatPr baseColWidth="10"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7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78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9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60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51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60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19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19" s="40" customFormat="1" ht="18">
      <c r="A146" s="68" t="s">
        <v>57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61986.400000000001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si="21"/>
        <v>1493553.1999999995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2818175.0333333332</v>
      </c>
      <c r="S146" s="8">
        <f t="shared" si="24"/>
        <v>2575459.9333333331</v>
      </c>
    </row>
    <row r="147" spans="1:19" s="40" customFormat="1" ht="18">
      <c r="A147" s="68" t="s">
        <v>58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62316.500000000007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1"/>
        <v>1504724.7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2840419.9666666668</v>
      </c>
      <c r="S147" s="8">
        <f t="shared" si="24"/>
        <v>2589194.3666666672</v>
      </c>
    </row>
    <row r="148" spans="1:19" s="40" customFormat="1" ht="18">
      <c r="A148" s="68" t="s">
        <v>59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69187.5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1"/>
        <v>1523301.5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2887725.5999999996</v>
      </c>
      <c r="S148" s="8">
        <f t="shared" si="24"/>
        <v>2652409.5999999996</v>
      </c>
    </row>
    <row r="149" spans="1:19" s="40" customFormat="1" ht="18">
      <c r="A149" s="68" t="s">
        <v>60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81164.800000000003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1"/>
        <v>1539476.2000000002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2920423.9666666668</v>
      </c>
      <c r="S149" s="8">
        <f t="shared" si="24"/>
        <v>2676437.4666666668</v>
      </c>
    </row>
    <row r="150" spans="1:19" s="40" customFormat="1" ht="18">
      <c r="A150" s="68" t="s">
        <v>61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1341848</v>
      </c>
      <c r="G150" s="8">
        <v>78077.600000000006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1"/>
        <v>1576595.1000000006</v>
      </c>
      <c r="M150" s="8">
        <v>25926.899999999998</v>
      </c>
      <c r="N150" s="8">
        <v>1372820.333333333</v>
      </c>
      <c r="O150" s="43">
        <v>496</v>
      </c>
      <c r="P150" s="43">
        <v>12381.5</v>
      </c>
      <c r="Q150" s="8">
        <f>SUM(M150:P150)</f>
        <v>1411624.7333333329</v>
      </c>
      <c r="R150" s="8">
        <f>SUM(L150,Q150)</f>
        <v>2988219.8333333335</v>
      </c>
      <c r="S150" s="8">
        <f t="shared" si="24"/>
        <v>2726300.9333333336</v>
      </c>
    </row>
    <row r="151" spans="1:19" s="40" customFormat="1" ht="18">
      <c r="A151" s="68" t="s">
        <v>63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1373091.0000000002</v>
      </c>
      <c r="G151" s="8">
        <v>75978.7</v>
      </c>
      <c r="H151" s="41">
        <v>23686.2</v>
      </c>
      <c r="I151" s="41">
        <v>722793.2</v>
      </c>
      <c r="J151" s="42">
        <v>-450779.19999999995</v>
      </c>
      <c r="K151" s="8">
        <v>-95938.200000000012</v>
      </c>
      <c r="L151" s="8">
        <f t="shared" si="21"/>
        <v>1648831.7000000002</v>
      </c>
      <c r="M151" s="8">
        <v>42179.299999999988</v>
      </c>
      <c r="N151" s="8">
        <v>1340807.0000000002</v>
      </c>
      <c r="O151" s="43">
        <v>458.5</v>
      </c>
      <c r="P151" s="43">
        <v>13691.699999999999</v>
      </c>
      <c r="Q151" s="8">
        <f>SUM(M151:P151)</f>
        <v>1397136.5000000002</v>
      </c>
      <c r="R151" s="8">
        <f>SUM(L151,Q151)</f>
        <v>3045968.2</v>
      </c>
      <c r="S151" s="8">
        <f t="shared" si="24"/>
        <v>2830946.6</v>
      </c>
    </row>
    <row r="152" spans="1:19" s="40" customFormat="1" ht="18">
      <c r="A152" s="68" t="s">
        <v>65</v>
      </c>
      <c r="B152" s="8">
        <v>338904.19999999995</v>
      </c>
      <c r="C152" s="8">
        <v>-662873</v>
      </c>
      <c r="D152" s="8">
        <f t="shared" si="20"/>
        <v>-323968.80000000005</v>
      </c>
      <c r="E152" s="8">
        <v>0</v>
      </c>
      <c r="F152" s="8">
        <v>1411185.8000000003</v>
      </c>
      <c r="G152" s="8">
        <f>18507.3+104859.1+50.8+0</f>
        <v>123417.20000000001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ref="L152:L159" si="25">SUM( (E152:K152))</f>
        <v>1729328.9000000001</v>
      </c>
      <c r="M152" s="8">
        <f>37420.9+101.6</f>
        <v>37522.5</v>
      </c>
      <c r="N152" s="8">
        <f>1317096.5+68856.6-157.9-0-0-13533.8</f>
        <v>1372261.4000000001</v>
      </c>
      <c r="O152" s="43">
        <v>370.8</v>
      </c>
      <c r="P152" s="43">
        <f t="shared" ref="P152:P160" si="26">157.9+0+0+13533.8</f>
        <v>13691.699999999999</v>
      </c>
      <c r="Q152" s="8">
        <f t="shared" ref="Q152:Q160" si="27">SUM(M152:P152)</f>
        <v>1423846.4000000001</v>
      </c>
      <c r="R152" s="8">
        <f t="shared" ref="R152:R160" si="28">SUM(L152,Q152)</f>
        <v>3153175.3000000003</v>
      </c>
      <c r="S152" s="8">
        <f t="shared" si="24"/>
        <v>2829206.5</v>
      </c>
    </row>
    <row r="153" spans="1:19" s="40" customFormat="1" ht="18">
      <c r="A153" s="68" t="s">
        <v>66</v>
      </c>
      <c r="B153" s="8">
        <v>393428</v>
      </c>
      <c r="C153" s="8">
        <v>-646726.6</v>
      </c>
      <c r="D153" s="8">
        <f t="shared" si="20"/>
        <v>-253298.59999999998</v>
      </c>
      <c r="E153" s="8">
        <v>0</v>
      </c>
      <c r="F153" s="8">
        <v>1421147.0000000002</v>
      </c>
      <c r="G153" s="8">
        <f>18507.3+105451.8+84.3+0</f>
        <v>124043.40000000001</v>
      </c>
      <c r="H153" s="41">
        <v>22292.799999999999</v>
      </c>
      <c r="I153" s="41">
        <v>721584.1</v>
      </c>
      <c r="J153" s="42">
        <v>-463986.5</v>
      </c>
      <c r="K153" s="8">
        <v>-96011.1</v>
      </c>
      <c r="L153" s="8">
        <f t="shared" si="25"/>
        <v>1729069.7000000002</v>
      </c>
      <c r="M153" s="8">
        <f>34653.6+101.6</f>
        <v>34755.199999999997</v>
      </c>
      <c r="N153" s="8">
        <f>1310566.5+67089.1-157.9-0-0-13533.8</f>
        <v>1363963.9000000001</v>
      </c>
      <c r="O153" s="43">
        <v>327</v>
      </c>
      <c r="P153" s="43">
        <f t="shared" si="26"/>
        <v>13691.699999999999</v>
      </c>
      <c r="Q153" s="8">
        <f t="shared" si="27"/>
        <v>1412737.8</v>
      </c>
      <c r="R153" s="8">
        <f t="shared" si="28"/>
        <v>3141807.5</v>
      </c>
      <c r="S153" s="8">
        <f t="shared" si="24"/>
        <v>2888508.9</v>
      </c>
    </row>
    <row r="154" spans="1:19" s="40" customFormat="1" ht="18">
      <c r="A154" s="68" t="s">
        <v>67</v>
      </c>
      <c r="B154" s="8">
        <v>344270.5</v>
      </c>
      <c r="C154" s="8">
        <v>-637844.9</v>
      </c>
      <c r="D154" s="8">
        <f t="shared" si="20"/>
        <v>-293574.40000000002</v>
      </c>
      <c r="E154" s="8">
        <v>0</v>
      </c>
      <c r="F154" s="8">
        <f>0+0+0+51183+1270664.1+59841.5+16114.8+3073.8+14308.4</f>
        <v>1415185.6</v>
      </c>
      <c r="G154" s="8">
        <f>18507.3+106131.4+0+0</f>
        <v>124638.7</v>
      </c>
      <c r="H154" s="41">
        <v>19506.2</v>
      </c>
      <c r="I154" s="41">
        <v>719165.8</v>
      </c>
      <c r="J154" s="42">
        <v>-510462.1</v>
      </c>
      <c r="K154" s="8">
        <v>-77027.199999999997</v>
      </c>
      <c r="L154" s="8">
        <f t="shared" si="25"/>
        <v>1691006.9999999998</v>
      </c>
      <c r="M154" s="8">
        <f>32139.4+101.6</f>
        <v>32241</v>
      </c>
      <c r="N154" s="8">
        <f>1343019.7+65589.3-157.9-0-0-13533.8</f>
        <v>1394917.3</v>
      </c>
      <c r="O154" s="43">
        <v>342.2</v>
      </c>
      <c r="P154" s="43">
        <f t="shared" si="26"/>
        <v>13691.699999999999</v>
      </c>
      <c r="Q154" s="8">
        <f t="shared" si="27"/>
        <v>1441192.2</v>
      </c>
      <c r="R154" s="8">
        <f t="shared" si="28"/>
        <v>3132199.1999999997</v>
      </c>
      <c r="S154" s="8">
        <f t="shared" si="24"/>
        <v>2838624.8</v>
      </c>
    </row>
    <row r="155" spans="1:19" s="40" customFormat="1" ht="18">
      <c r="A155" s="68" t="s">
        <v>68</v>
      </c>
      <c r="B155" s="8">
        <v>328372.39999999997</v>
      </c>
      <c r="C155" s="8">
        <v>-643083.69999999995</v>
      </c>
      <c r="D155" s="8">
        <f t="shared" si="20"/>
        <v>-314711.3</v>
      </c>
      <c r="E155" s="8">
        <v>0</v>
      </c>
      <c r="F155" s="8">
        <f>0+0+0+50533.1+1285753.9+49093.9+16114.8+3099.7+14440.3</f>
        <v>1419035.7</v>
      </c>
      <c r="G155" s="8">
        <f>18507.3+106799.7+0+0</f>
        <v>125307</v>
      </c>
      <c r="H155" s="41">
        <v>18112.900000000001</v>
      </c>
      <c r="I155" s="41">
        <v>717956.7</v>
      </c>
      <c r="J155" s="42">
        <v>-470665</v>
      </c>
      <c r="K155" s="8">
        <v>-73644.3</v>
      </c>
      <c r="L155" s="8">
        <f t="shared" si="25"/>
        <v>1736102.9999999998</v>
      </c>
      <c r="M155" s="8">
        <f>33553.4+101.6</f>
        <v>33655</v>
      </c>
      <c r="N155" s="8">
        <f>1353884.6+61814.1-157.9-0-0-13533.8</f>
        <v>1402007.0000000002</v>
      </c>
      <c r="O155" s="43">
        <v>357.29999999999995</v>
      </c>
      <c r="P155" s="43">
        <f t="shared" si="26"/>
        <v>13691.699999999999</v>
      </c>
      <c r="Q155" s="8">
        <f t="shared" si="27"/>
        <v>1449711.0000000002</v>
      </c>
      <c r="R155" s="8">
        <f t="shared" si="28"/>
        <v>3185814</v>
      </c>
      <c r="S155" s="8">
        <f t="shared" si="24"/>
        <v>2871102.7</v>
      </c>
    </row>
    <row r="156" spans="1:19" s="40" customFormat="1" ht="18">
      <c r="A156" s="68" t="s">
        <v>69</v>
      </c>
      <c r="B156" s="8">
        <v>309523.59999999998</v>
      </c>
      <c r="C156" s="8">
        <v>-658635.19999999995</v>
      </c>
      <c r="D156" s="8">
        <f t="shared" si="20"/>
        <v>-349111.6</v>
      </c>
      <c r="E156" s="8">
        <v>0</v>
      </c>
      <c r="F156" s="8">
        <f>0+0+0+64033.1+1297860.1+49605.6+16114.8+3126.6+14576.6</f>
        <v>1445316.8000000005</v>
      </c>
      <c r="G156" s="8">
        <f>18507.3+100280.7+0+0+1852.2</f>
        <v>120640.2</v>
      </c>
      <c r="H156" s="41">
        <v>18112.900000000001</v>
      </c>
      <c r="I156" s="41">
        <v>717956.7</v>
      </c>
      <c r="J156" s="42">
        <v>-505970.9</v>
      </c>
      <c r="K156" s="8">
        <v>-75206.900000000009</v>
      </c>
      <c r="L156" s="8">
        <f t="shared" si="25"/>
        <v>1720848.8000000007</v>
      </c>
      <c r="M156" s="8">
        <f>30460.3+101.6</f>
        <v>30561.899999999998</v>
      </c>
      <c r="N156" s="8">
        <f>1420798.9+65578.2-157.9-0-0-13533.8</f>
        <v>1472685.4</v>
      </c>
      <c r="O156" s="43">
        <v>552.5</v>
      </c>
      <c r="P156" s="43">
        <f t="shared" si="26"/>
        <v>13691.699999999999</v>
      </c>
      <c r="Q156" s="8">
        <f t="shared" si="27"/>
        <v>1517491.4999999998</v>
      </c>
      <c r="R156" s="8">
        <f t="shared" si="28"/>
        <v>3238340.3000000007</v>
      </c>
      <c r="S156" s="8">
        <f t="shared" si="24"/>
        <v>2889228.7000000007</v>
      </c>
    </row>
    <row r="157" spans="1:19" s="40" customFormat="1" ht="18">
      <c r="A157" s="68" t="s">
        <v>70</v>
      </c>
      <c r="B157" s="8">
        <v>307932</v>
      </c>
      <c r="C157" s="8">
        <v>-649622.6</v>
      </c>
      <c r="D157" s="8">
        <f t="shared" si="20"/>
        <v>-341690.6</v>
      </c>
      <c r="E157" s="8">
        <v>0</v>
      </c>
      <c r="F157" s="8">
        <f>0+0+0+59283+1350702.5+59204.6+16114.8+3152.5+14708.5</f>
        <v>1503165.9000000001</v>
      </c>
      <c r="G157" s="8">
        <f>18507.3+101058+0+21.1+5357.5</f>
        <v>124943.90000000001</v>
      </c>
      <c r="H157" s="41">
        <v>15326.3</v>
      </c>
      <c r="I157" s="41">
        <v>715538.4</v>
      </c>
      <c r="J157" s="42">
        <v>-447504.69999999995</v>
      </c>
      <c r="K157" s="8">
        <v>-86594.1</v>
      </c>
      <c r="L157" s="8">
        <f t="shared" si="25"/>
        <v>1824875.7</v>
      </c>
      <c r="M157" s="8">
        <f>29577.5+101.6</f>
        <v>29679.1</v>
      </c>
      <c r="N157" s="8">
        <f>1427098.3+64683.4-157.9-0-0-13533.8</f>
        <v>1478090</v>
      </c>
      <c r="O157" s="43">
        <v>328.2</v>
      </c>
      <c r="P157" s="43">
        <f t="shared" si="26"/>
        <v>13691.699999999999</v>
      </c>
      <c r="Q157" s="8">
        <f t="shared" si="27"/>
        <v>1521789</v>
      </c>
      <c r="R157" s="8">
        <f t="shared" si="28"/>
        <v>3346664.7</v>
      </c>
      <c r="S157" s="8">
        <f t="shared" si="24"/>
        <v>3004974.1</v>
      </c>
    </row>
    <row r="158" spans="1:19" s="40" customFormat="1" ht="18">
      <c r="A158" s="68" t="s">
        <v>71</v>
      </c>
      <c r="B158" s="8">
        <v>339010</v>
      </c>
      <c r="C158" s="8">
        <v>-660257.09999999986</v>
      </c>
      <c r="D158" s="8">
        <f t="shared" si="20"/>
        <v>-321247.09999999986</v>
      </c>
      <c r="E158" s="8">
        <v>0</v>
      </c>
      <c r="F158" s="8">
        <f>0+0+0+53583+1382662.1+63639.5+16114.8+3179.4+14645.3</f>
        <v>1533824.1</v>
      </c>
      <c r="G158" s="8">
        <f>18507.3+100236+21.1+9362.2</f>
        <v>128126.6</v>
      </c>
      <c r="H158" s="41">
        <v>13933</v>
      </c>
      <c r="I158" s="41">
        <v>714329.3</v>
      </c>
      <c r="J158" s="42">
        <v>-496805.39999999997</v>
      </c>
      <c r="K158" s="8">
        <v>-87632.4</v>
      </c>
      <c r="L158" s="8">
        <f t="shared" si="25"/>
        <v>1805775.2000000002</v>
      </c>
      <c r="M158" s="8">
        <f>27283.1+101.6</f>
        <v>27384.699999999997</v>
      </c>
      <c r="N158" s="8">
        <f>1480156.6+68607.3-157.9-0-0-13533.8</f>
        <v>1535072.2000000002</v>
      </c>
      <c r="O158" s="43">
        <v>226.5</v>
      </c>
      <c r="P158" s="43">
        <f t="shared" si="26"/>
        <v>13691.699999999999</v>
      </c>
      <c r="Q158" s="8">
        <f t="shared" si="27"/>
        <v>1576375.1</v>
      </c>
      <c r="R158" s="8">
        <f t="shared" si="28"/>
        <v>3382150.3000000003</v>
      </c>
      <c r="S158" s="8">
        <f t="shared" si="24"/>
        <v>3060903.2</v>
      </c>
    </row>
    <row r="159" spans="1:19" s="40" customFormat="1" ht="18">
      <c r="A159" s="68" t="s">
        <v>72</v>
      </c>
      <c r="B159" s="8">
        <v>363465</v>
      </c>
      <c r="C159" s="8">
        <v>-645586.19999999984</v>
      </c>
      <c r="D159" s="8">
        <f t="shared" si="20"/>
        <v>-282121.19999999984</v>
      </c>
      <c r="E159" s="8">
        <v>0</v>
      </c>
      <c r="F159" s="8">
        <f>0+0+0+51333+1407573.8+62122.3+16114.8+3206.2+14781.6</f>
        <v>1555131.7000000002</v>
      </c>
      <c r="G159" s="8">
        <f>18507.3+101118.5+21.1+23833.1</f>
        <v>143480</v>
      </c>
      <c r="H159" s="41">
        <v>13933</v>
      </c>
      <c r="I159" s="41">
        <v>713689.4</v>
      </c>
      <c r="J159" s="42">
        <v>-544603.60000000009</v>
      </c>
      <c r="K159" s="8">
        <v>-88159.1</v>
      </c>
      <c r="L159" s="8">
        <f t="shared" si="25"/>
        <v>1793471.4</v>
      </c>
      <c r="M159" s="8">
        <f>46061.6+101.6</f>
        <v>46163.199999999997</v>
      </c>
      <c r="N159" s="8">
        <f>1490645.5+66859.2-157.9-0-0-13533.8</f>
        <v>1543813</v>
      </c>
      <c r="O159" s="43">
        <v>305.60000000000002</v>
      </c>
      <c r="P159" s="43">
        <f t="shared" si="26"/>
        <v>13691.699999999999</v>
      </c>
      <c r="Q159" s="8">
        <f t="shared" si="27"/>
        <v>1603973.5</v>
      </c>
      <c r="R159" s="8">
        <f t="shared" si="28"/>
        <v>3397444.9</v>
      </c>
      <c r="S159" s="8">
        <f t="shared" si="24"/>
        <v>3115323.7</v>
      </c>
    </row>
    <row r="160" spans="1:19" s="40" customFormat="1" ht="18">
      <c r="A160" s="68" t="s">
        <v>74</v>
      </c>
      <c r="B160" s="8">
        <v>369355.29999999993</v>
      </c>
      <c r="C160" s="8">
        <v>-672054.89999999991</v>
      </c>
      <c r="D160" s="8">
        <f t="shared" si="20"/>
        <v>-302699.59999999998</v>
      </c>
      <c r="E160" s="8">
        <v>0</v>
      </c>
      <c r="F160" s="8">
        <f>0+0+0+55534+1425779.5+58564.4+16114.8+3232.2+14913.5</f>
        <v>1574138.4</v>
      </c>
      <c r="G160" s="8">
        <f>18507.3+127552.5+42.1+25822.8+150000</f>
        <v>321924.69999999995</v>
      </c>
      <c r="H160" s="41">
        <v>12539.7</v>
      </c>
      <c r="I160" s="41">
        <v>713120.2</v>
      </c>
      <c r="J160" s="42">
        <v>-476951.10000000009</v>
      </c>
      <c r="K160" s="8">
        <v>-76753.3</v>
      </c>
      <c r="L160" s="8">
        <f t="shared" ref="L160" si="29">SUM( (E160:K160))</f>
        <v>2068018.5999999999</v>
      </c>
      <c r="M160" s="8">
        <f>30627.9+101.6</f>
        <v>30729.5</v>
      </c>
      <c r="N160" s="8">
        <f>1456029.1+81197.8-157.9-0-0-13533.8</f>
        <v>1523535.2000000002</v>
      </c>
      <c r="O160" s="43">
        <v>311</v>
      </c>
      <c r="P160" s="43">
        <f t="shared" si="26"/>
        <v>13691.699999999999</v>
      </c>
      <c r="Q160" s="8">
        <f t="shared" si="27"/>
        <v>1568267.4000000001</v>
      </c>
      <c r="R160" s="8">
        <f t="shared" si="28"/>
        <v>3636286</v>
      </c>
      <c r="S160" s="8">
        <f t="shared" si="24"/>
        <v>3333586.4</v>
      </c>
    </row>
    <row r="161" spans="1:253" s="40" customFormat="1">
      <c r="A161" s="63" t="s">
        <v>47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5"/>
    </row>
    <row r="162" spans="1:253" s="13" customFormat="1" ht="12.75" customHeight="1">
      <c r="A162" s="60" t="s">
        <v>46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2"/>
    </row>
    <row r="163" spans="1:253" s="13" customFormat="1" ht="12.75" hidden="1">
      <c r="A163" s="54" t="s">
        <v>45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6"/>
      <c r="O163" s="55"/>
      <c r="P163" s="55"/>
      <c r="Q163" s="55"/>
      <c r="R163" s="57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1"/>
  <sheetViews>
    <sheetView workbookViewId="0">
      <pane xSplit="1" ySplit="7" topLeftCell="R52" activePane="bottomRight" state="frozen"/>
      <selection pane="topRight" activeCell="B1" sqref="B1"/>
      <selection pane="bottomLeft" activeCell="A8" sqref="A8"/>
      <selection pane="bottomRight" activeCell="S62" sqref="S62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83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6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58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5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58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 ht="18">
      <c r="A54" s="68" t="s">
        <v>59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69187.5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si="14"/>
        <v>1523301.5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2887725.5999999996</v>
      </c>
      <c r="S54" s="8">
        <f t="shared" si="17"/>
        <v>2652409.5999999996</v>
      </c>
    </row>
    <row r="55" spans="1:19" s="40" customFormat="1" ht="18">
      <c r="A55" s="68" t="s">
        <v>63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1373091.0000000002</v>
      </c>
      <c r="G55" s="8">
        <v>75978.7</v>
      </c>
      <c r="H55" s="41">
        <v>23686.2</v>
      </c>
      <c r="I55" s="41">
        <v>722793.2</v>
      </c>
      <c r="J55" s="42">
        <v>-450779.19999999995</v>
      </c>
      <c r="K55" s="8">
        <v>-95938.200000000012</v>
      </c>
      <c r="L55" s="8">
        <f t="shared" si="14"/>
        <v>1648831.7000000002</v>
      </c>
      <c r="M55" s="8">
        <v>42179.299999999988</v>
      </c>
      <c r="N55" s="8">
        <v>1340807.0000000002</v>
      </c>
      <c r="O55" s="43">
        <v>458.5</v>
      </c>
      <c r="P55" s="43">
        <v>13691.699999999999</v>
      </c>
      <c r="Q55" s="8">
        <f>SUM(M55:P55)</f>
        <v>1397136.5000000002</v>
      </c>
      <c r="R55" s="8">
        <f>SUM(L55,Q55)</f>
        <v>3045968.2</v>
      </c>
      <c r="S55" s="8">
        <f t="shared" si="17"/>
        <v>2830946.6</v>
      </c>
    </row>
    <row r="56" spans="1:19" s="40" customFormat="1" ht="18">
      <c r="A56" s="68" t="s">
        <v>67</v>
      </c>
      <c r="B56" s="8">
        <v>344270.5</v>
      </c>
      <c r="C56" s="8">
        <v>-637844.9</v>
      </c>
      <c r="D56" s="8">
        <f t="shared" si="13"/>
        <v>-293574.40000000002</v>
      </c>
      <c r="E56" s="8">
        <v>0</v>
      </c>
      <c r="F56" s="8">
        <f>0+0+0+51183+1270664.1+59841.5+16114.8+3073.8+14308.4</f>
        <v>1415185.6</v>
      </c>
      <c r="G56" s="8">
        <f>18507.3+106131.4+0+0</f>
        <v>124638.7</v>
      </c>
      <c r="H56" s="41">
        <v>19506.2</v>
      </c>
      <c r="I56" s="41">
        <v>719165.8</v>
      </c>
      <c r="J56" s="42">
        <v>-510462.1</v>
      </c>
      <c r="K56" s="8">
        <v>-77027.199999999997</v>
      </c>
      <c r="L56" s="8">
        <f t="shared" ref="L56:L57" si="18">SUM( (E56:K56))</f>
        <v>1691006.9999999998</v>
      </c>
      <c r="M56" s="8">
        <f>32139.4+101.6</f>
        <v>32241</v>
      </c>
      <c r="N56" s="8">
        <f>1343019.7+65589.3-157.9-0-0-13533.8</f>
        <v>1394917.3</v>
      </c>
      <c r="O56" s="43">
        <v>342.2</v>
      </c>
      <c r="P56" s="43">
        <f t="shared" ref="P56:P58" si="19">157.9+0+0+13533.8</f>
        <v>13691.699999999999</v>
      </c>
      <c r="Q56" s="8">
        <f t="shared" ref="Q56:Q58" si="20">SUM(M56:P56)</f>
        <v>1441192.2</v>
      </c>
      <c r="R56" s="8">
        <f t="shared" ref="R56:R58" si="21">SUM(L56,Q56)</f>
        <v>3132199.1999999997</v>
      </c>
      <c r="S56" s="8">
        <f t="shared" si="17"/>
        <v>2838624.8</v>
      </c>
    </row>
    <row r="57" spans="1:19" s="40" customFormat="1" ht="18">
      <c r="A57" s="68" t="s">
        <v>70</v>
      </c>
      <c r="B57" s="8">
        <v>307932</v>
      </c>
      <c r="C57" s="8">
        <v>-649622.6</v>
      </c>
      <c r="D57" s="8">
        <f t="shared" si="13"/>
        <v>-341690.6</v>
      </c>
      <c r="E57" s="8">
        <v>0</v>
      </c>
      <c r="F57" s="8">
        <f>0+0+0+59283+1350702.5+59204.6+16114.8+3152.5+14708.5</f>
        <v>1503165.9000000001</v>
      </c>
      <c r="G57" s="8">
        <f>18507.3+101058+0+21.1+5357.5</f>
        <v>124943.90000000001</v>
      </c>
      <c r="H57" s="41">
        <v>15326.3</v>
      </c>
      <c r="I57" s="41">
        <v>715538.4</v>
      </c>
      <c r="J57" s="42">
        <v>-447504.69999999995</v>
      </c>
      <c r="K57" s="8">
        <v>-86594.1</v>
      </c>
      <c r="L57" s="8">
        <f t="shared" si="18"/>
        <v>1824875.7</v>
      </c>
      <c r="M57" s="8">
        <f>29577.5+101.6</f>
        <v>29679.1</v>
      </c>
      <c r="N57" s="8">
        <f>1427098.3+64683.4-157.9-0-0-13533.8</f>
        <v>1478090</v>
      </c>
      <c r="O57" s="43">
        <v>328.2</v>
      </c>
      <c r="P57" s="43">
        <f t="shared" si="19"/>
        <v>13691.699999999999</v>
      </c>
      <c r="Q57" s="8">
        <f t="shared" si="20"/>
        <v>1521789</v>
      </c>
      <c r="R57" s="8">
        <f t="shared" si="21"/>
        <v>3346664.7</v>
      </c>
      <c r="S57" s="8">
        <f t="shared" si="17"/>
        <v>3004974.1</v>
      </c>
    </row>
    <row r="58" spans="1:19" s="40" customFormat="1" ht="18">
      <c r="A58" s="68" t="s">
        <v>74</v>
      </c>
      <c r="B58" s="8">
        <v>369355.29999999993</v>
      </c>
      <c r="C58" s="8">
        <v>-672054.89999999991</v>
      </c>
      <c r="D58" s="8">
        <f t="shared" si="13"/>
        <v>-302699.59999999998</v>
      </c>
      <c r="E58" s="8">
        <v>0</v>
      </c>
      <c r="F58" s="8">
        <f>0+0+0+55534+1425779.5+58564.4+16114.8+3232.2+14913.5</f>
        <v>1574138.4</v>
      </c>
      <c r="G58" s="8">
        <f>18507.3+127552.5+42.1+25822.8+150000</f>
        <v>321924.69999999995</v>
      </c>
      <c r="H58" s="41">
        <v>12539.7</v>
      </c>
      <c r="I58" s="41">
        <v>713120.2</v>
      </c>
      <c r="J58" s="42">
        <v>-476951.10000000009</v>
      </c>
      <c r="K58" s="8">
        <v>-76753.3</v>
      </c>
      <c r="L58" s="8">
        <f t="shared" ref="L58" si="22">SUM( (E58:K58))</f>
        <v>2068018.5999999999</v>
      </c>
      <c r="M58" s="8">
        <f>30627.9+101.6</f>
        <v>30729.5</v>
      </c>
      <c r="N58" s="8">
        <f>1456029.1+81197.8-157.9-0-0-13533.8</f>
        <v>1523535.2000000002</v>
      </c>
      <c r="O58" s="43">
        <v>311</v>
      </c>
      <c r="P58" s="43">
        <f t="shared" si="19"/>
        <v>13691.699999999999</v>
      </c>
      <c r="Q58" s="8">
        <f t="shared" si="20"/>
        <v>1568267.4000000001</v>
      </c>
      <c r="R58" s="8">
        <f t="shared" si="21"/>
        <v>3636286</v>
      </c>
      <c r="S58" s="8">
        <f t="shared" si="17"/>
        <v>3333586.4</v>
      </c>
    </row>
    <row r="59" spans="1:19" s="40" customFormat="1">
      <c r="A59" s="6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s="40" customFormat="1">
      <c r="A60" s="63" t="s">
        <v>47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5"/>
    </row>
    <row r="61" spans="1:19" s="13" customFormat="1" ht="12.75" customHeight="1">
      <c r="A61" s="60" t="s">
        <v>46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2"/>
  <sheetViews>
    <sheetView workbookViewId="0">
      <pane xSplit="1" ySplit="7" topLeftCell="D17" activePane="bottomRight" state="frozen"/>
      <selection pane="topRight" activeCell="B1" sqref="B1"/>
      <selection pane="bottomLeft" activeCell="A8" sqref="A8"/>
      <selection pane="bottomRight" activeCell="A24" sqref="A24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83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6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 ht="18">
      <c r="A19" s="68" t="s">
        <v>64</v>
      </c>
      <c r="B19" s="8">
        <v>388061.1999999999</v>
      </c>
      <c r="C19" s="8">
        <v>-603082.79999999981</v>
      </c>
      <c r="D19" s="8">
        <f t="shared" ref="D19" si="10">SUM(B19:C19)</f>
        <v>-215021.59999999992</v>
      </c>
      <c r="E19" s="8">
        <v>0</v>
      </c>
      <c r="F19" s="8">
        <v>1373091.0000000002</v>
      </c>
      <c r="G19" s="8">
        <v>75978.7</v>
      </c>
      <c r="H19" s="41">
        <v>23686.2</v>
      </c>
      <c r="I19" s="41">
        <v>722793.2</v>
      </c>
      <c r="J19" s="42">
        <v>-450779.19999999995</v>
      </c>
      <c r="K19" s="8">
        <v>-95938.200000000012</v>
      </c>
      <c r="L19" s="8">
        <f t="shared" ref="L19" si="11">SUM( (E19:K19))</f>
        <v>1648831.7000000002</v>
      </c>
      <c r="M19" s="8">
        <v>42179.299999999988</v>
      </c>
      <c r="N19" s="8">
        <v>1340807.0000000002</v>
      </c>
      <c r="O19" s="43">
        <v>458.5</v>
      </c>
      <c r="P19" s="43">
        <v>13691.699999999999</v>
      </c>
      <c r="Q19" s="8">
        <f>SUM(M19:P19)</f>
        <v>1397136.5000000002</v>
      </c>
      <c r="R19" s="8">
        <f>SUM(L19,Q19)</f>
        <v>3045968.2</v>
      </c>
      <c r="S19" s="8">
        <f t="shared" ref="S19" si="12">SUM(D19,R19)</f>
        <v>2830946.6</v>
      </c>
    </row>
    <row r="20" spans="1:19" s="40" customFormat="1">
      <c r="A20" s="64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</row>
    <row r="21" spans="1:19" s="40" customFormat="1">
      <c r="A21" s="63" t="s">
        <v>47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</row>
    <row r="22" spans="1:19" s="13" customFormat="1" ht="12.75" customHeight="1">
      <c r="A22" s="60" t="s">
        <v>46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2020-12-22T07:54:19Z</dcterms:modified>
</cp:coreProperties>
</file>