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AUGUST 2022\"/>
    </mc:Choice>
  </mc:AlternateContent>
  <bookViews>
    <workbookView xWindow="0" yWindow="0" windowWidth="24000" windowHeight="9135" activeTab="2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65" i="4" l="1"/>
  <c r="F65" i="4"/>
  <c r="G65" i="4" s="1"/>
  <c r="N182" i="3"/>
  <c r="O182" i="3" s="1"/>
  <c r="G182" i="3"/>
  <c r="F182" i="3"/>
  <c r="O65" i="4" l="1"/>
  <c r="O181" i="3" l="1"/>
  <c r="N181" i="3"/>
  <c r="G181" i="3"/>
  <c r="F181" i="3"/>
  <c r="N20" i="5" l="1"/>
  <c r="F20" i="5"/>
  <c r="G20" i="5" s="1"/>
  <c r="N62" i="4"/>
  <c r="F62" i="4"/>
  <c r="G62" i="4" s="1"/>
  <c r="N180" i="3"/>
  <c r="O180" i="3" s="1"/>
  <c r="F180" i="3"/>
  <c r="G180" i="3" s="1"/>
  <c r="N179" i="3"/>
  <c r="F179" i="3"/>
  <c r="G179" i="3" s="1"/>
  <c r="O179" i="3" s="1"/>
  <c r="N178" i="3"/>
  <c r="O178" i="3" s="1"/>
  <c r="F178" i="3"/>
  <c r="G178" i="3" s="1"/>
  <c r="N177" i="3"/>
  <c r="F177" i="3"/>
  <c r="G177" i="3" s="1"/>
  <c r="N176" i="3"/>
  <c r="F176" i="3"/>
  <c r="G176" i="3" s="1"/>
  <c r="N175" i="3"/>
  <c r="F175" i="3"/>
  <c r="G175" i="3" s="1"/>
  <c r="N174" i="3"/>
  <c r="O174" i="3" s="1"/>
  <c r="F174" i="3"/>
  <c r="G174" i="3" s="1"/>
  <c r="N173" i="3"/>
  <c r="F173" i="3"/>
  <c r="G173" i="3" s="1"/>
  <c r="O20" i="5" l="1"/>
  <c r="O62" i="4"/>
  <c r="O175" i="3"/>
  <c r="O176" i="3"/>
  <c r="O177" i="3"/>
  <c r="O173" i="3"/>
  <c r="N172" i="3" l="1"/>
  <c r="G172" i="3"/>
  <c r="F172" i="3"/>
  <c r="N171" i="3"/>
  <c r="F171" i="3"/>
  <c r="G171" i="3" s="1"/>
  <c r="O172" i="3" l="1"/>
  <c r="O171" i="3"/>
  <c r="N19" i="5" l="1"/>
  <c r="O19" i="5" s="1"/>
  <c r="F19" i="5"/>
  <c r="G19" i="5" s="1"/>
  <c r="N61" i="4"/>
  <c r="F61" i="4"/>
  <c r="G61" i="4" s="1"/>
  <c r="O61" i="4" s="1"/>
  <c r="N60" i="4"/>
  <c r="F60" i="4"/>
  <c r="G60" i="4" s="1"/>
  <c r="N58" i="4"/>
  <c r="F58" i="4"/>
  <c r="G58" i="4" s="1"/>
  <c r="N170" i="3"/>
  <c r="O170" i="3" s="1"/>
  <c r="G170" i="3"/>
  <c r="F170" i="3"/>
  <c r="N169" i="3"/>
  <c r="F169" i="3"/>
  <c r="G169" i="3" s="1"/>
  <c r="N168" i="3"/>
  <c r="F168" i="3"/>
  <c r="G168" i="3" s="1"/>
  <c r="O168" i="3" s="1"/>
  <c r="N167" i="3"/>
  <c r="O167" i="3" s="1"/>
  <c r="G167" i="3"/>
  <c r="F167" i="3"/>
  <c r="N166" i="3"/>
  <c r="F166" i="3"/>
  <c r="G166" i="3" s="1"/>
  <c r="N165" i="3"/>
  <c r="F165" i="3"/>
  <c r="G165" i="3" s="1"/>
  <c r="O165" i="3" s="1"/>
  <c r="N164" i="3"/>
  <c r="O164" i="3" s="1"/>
  <c r="G164" i="3"/>
  <c r="F164" i="3"/>
  <c r="N163" i="3"/>
  <c r="F163" i="3"/>
  <c r="G163" i="3" s="1"/>
  <c r="N162" i="3"/>
  <c r="F162" i="3"/>
  <c r="G162" i="3" s="1"/>
  <c r="O162" i="3" s="1"/>
  <c r="N161" i="3"/>
  <c r="O161" i="3" s="1"/>
  <c r="G161" i="3"/>
  <c r="F161" i="3"/>
  <c r="O58" i="4" l="1"/>
  <c r="O60" i="4"/>
  <c r="O169" i="3"/>
  <c r="O166" i="3"/>
  <c r="O163" i="3"/>
  <c r="N57" i="4" l="1"/>
  <c r="F57" i="4"/>
  <c r="G57" i="4" s="1"/>
  <c r="N160" i="3"/>
  <c r="F160" i="3"/>
  <c r="G160" i="3" s="1"/>
  <c r="N159" i="3"/>
  <c r="F159" i="3"/>
  <c r="G159" i="3" s="1"/>
  <c r="N158" i="3"/>
  <c r="F158" i="3"/>
  <c r="G158" i="3" s="1"/>
  <c r="N157" i="3"/>
  <c r="F157" i="3"/>
  <c r="G157" i="3" s="1"/>
  <c r="N156" i="3"/>
  <c r="F156" i="3"/>
  <c r="G156" i="3" s="1"/>
  <c r="O57" i="4" l="1"/>
  <c r="O158" i="3"/>
  <c r="O160" i="3"/>
  <c r="O159" i="3"/>
  <c r="O156" i="3"/>
  <c r="O157" i="3"/>
  <c r="N18" i="5"/>
  <c r="G18" i="5"/>
  <c r="N56" i="4"/>
  <c r="F56" i="4"/>
  <c r="G56" i="4" s="1"/>
  <c r="N55" i="4"/>
  <c r="F55" i="4"/>
  <c r="G55" i="4" s="1"/>
  <c r="N54" i="4"/>
  <c r="G54" i="4"/>
  <c r="N53" i="4"/>
  <c r="G53" i="4"/>
  <c r="N155" i="3"/>
  <c r="F155" i="3"/>
  <c r="G155" i="3" s="1"/>
  <c r="N154" i="3"/>
  <c r="F154" i="3"/>
  <c r="G154" i="3" s="1"/>
  <c r="N153" i="3"/>
  <c r="F153" i="3"/>
  <c r="G153" i="3" s="1"/>
  <c r="N152" i="3"/>
  <c r="F152" i="3"/>
  <c r="G152" i="3" s="1"/>
  <c r="N151" i="3"/>
  <c r="F151" i="3"/>
  <c r="G151" i="3" s="1"/>
  <c r="N150" i="3"/>
  <c r="F150" i="3"/>
  <c r="G150" i="3" s="1"/>
  <c r="N149" i="3"/>
  <c r="G149" i="3"/>
  <c r="N148" i="3"/>
  <c r="G148" i="3"/>
  <c r="N147" i="3"/>
  <c r="G147" i="3"/>
  <c r="N146" i="3"/>
  <c r="G146" i="3"/>
  <c r="N145" i="3"/>
  <c r="G145" i="3"/>
  <c r="N144" i="3"/>
  <c r="G144" i="3"/>
  <c r="O146" i="3" l="1"/>
  <c r="O148" i="3"/>
  <c r="O18" i="5"/>
  <c r="O54" i="4"/>
  <c r="O53" i="4"/>
  <c r="O55" i="4"/>
  <c r="O56" i="4"/>
  <c r="O153" i="3"/>
  <c r="O155" i="3"/>
  <c r="O144" i="3"/>
  <c r="O151" i="3"/>
  <c r="O149" i="3"/>
  <c r="O145" i="3"/>
  <c r="O147" i="3"/>
  <c r="O150" i="3"/>
  <c r="O154" i="3"/>
  <c r="O152" i="3"/>
  <c r="N52" i="4" l="1"/>
  <c r="G52" i="4"/>
  <c r="N51" i="4"/>
  <c r="G51" i="4"/>
  <c r="N143" i="3"/>
  <c r="G143" i="3"/>
  <c r="N142" i="3"/>
  <c r="G142" i="3"/>
  <c r="N141" i="3"/>
  <c r="G141" i="3"/>
  <c r="N140" i="3"/>
  <c r="G140" i="3"/>
  <c r="N139" i="3"/>
  <c r="G139" i="3"/>
  <c r="N138" i="3"/>
  <c r="G138" i="3"/>
  <c r="O143" i="3" l="1"/>
  <c r="O142" i="3"/>
  <c r="O138" i="3"/>
  <c r="O51" i="4"/>
  <c r="O52" i="4"/>
  <c r="O140" i="3"/>
  <c r="O139" i="3"/>
  <c r="O141" i="3"/>
  <c r="N17" i="5"/>
  <c r="G17" i="5"/>
  <c r="N16" i="5"/>
  <c r="G16" i="5"/>
  <c r="N15" i="5"/>
  <c r="G15" i="5"/>
  <c r="N14" i="5"/>
  <c r="G14" i="5"/>
  <c r="N13" i="5"/>
  <c r="G13" i="5"/>
  <c r="N12" i="5"/>
  <c r="G12" i="5"/>
  <c r="N11" i="5"/>
  <c r="G11" i="5"/>
  <c r="N10" i="5"/>
  <c r="G10" i="5"/>
  <c r="N9" i="5"/>
  <c r="G9" i="5"/>
  <c r="N50" i="4"/>
  <c r="G50" i="4"/>
  <c r="N49" i="4"/>
  <c r="G49" i="4"/>
  <c r="N48" i="4"/>
  <c r="G48" i="4"/>
  <c r="N47" i="4"/>
  <c r="G47" i="4"/>
  <c r="N46" i="4"/>
  <c r="G46" i="4"/>
  <c r="N45" i="4"/>
  <c r="G45" i="4"/>
  <c r="N44" i="4"/>
  <c r="G44" i="4"/>
  <c r="N43" i="4"/>
  <c r="G43" i="4"/>
  <c r="N42" i="4"/>
  <c r="G42" i="4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37" i="3"/>
  <c r="G137" i="3"/>
  <c r="N136" i="3"/>
  <c r="G136" i="3"/>
  <c r="N135" i="3"/>
  <c r="G135" i="3"/>
  <c r="N134" i="3"/>
  <c r="G134" i="3"/>
  <c r="N133" i="3"/>
  <c r="G133" i="3"/>
  <c r="N132" i="3"/>
  <c r="G132" i="3"/>
  <c r="N131" i="3"/>
  <c r="G131" i="3"/>
  <c r="N130" i="3"/>
  <c r="G130" i="3"/>
  <c r="N129" i="3"/>
  <c r="G129" i="3"/>
  <c r="N128" i="3"/>
  <c r="G128" i="3"/>
  <c r="N127" i="3"/>
  <c r="G127" i="3"/>
  <c r="N126" i="3"/>
  <c r="G126" i="3"/>
  <c r="N125" i="3"/>
  <c r="G125" i="3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O47" i="3" l="1"/>
  <c r="O63" i="3"/>
  <c r="O71" i="3"/>
  <c r="O79" i="3"/>
  <c r="O87" i="3"/>
  <c r="O91" i="3"/>
  <c r="O99" i="3"/>
  <c r="O89" i="3"/>
  <c r="O55" i="3"/>
  <c r="O103" i="3"/>
  <c r="O107" i="3"/>
  <c r="O111" i="3"/>
  <c r="O115" i="3"/>
  <c r="O17" i="5"/>
  <c r="O120" i="3"/>
  <c r="O76" i="3"/>
  <c r="O84" i="3"/>
  <c r="O100" i="3"/>
  <c r="O108" i="3"/>
  <c r="O116" i="3"/>
  <c r="O121" i="3"/>
  <c r="O125" i="3"/>
  <c r="O133" i="3"/>
  <c r="O137" i="3"/>
  <c r="O118" i="3"/>
  <c r="O119" i="3"/>
  <c r="O123" i="3"/>
  <c r="O127" i="3"/>
  <c r="O131" i="3"/>
  <c r="O52" i="3"/>
  <c r="O124" i="3"/>
  <c r="O132" i="3"/>
  <c r="O44" i="3"/>
  <c r="O60" i="3"/>
  <c r="O68" i="3"/>
  <c r="O94" i="3"/>
  <c r="O102" i="3"/>
  <c r="O126" i="3"/>
  <c r="O130" i="3"/>
  <c r="O134" i="3"/>
  <c r="O11" i="5"/>
  <c r="O9" i="5"/>
  <c r="O45" i="4"/>
  <c r="O21" i="4"/>
  <c r="O40" i="4"/>
  <c r="O44" i="4"/>
  <c r="O22" i="4"/>
  <c r="O30" i="4"/>
  <c r="O38" i="4"/>
  <c r="O50" i="4"/>
  <c r="O18" i="4"/>
  <c r="O26" i="4"/>
  <c r="O34" i="4"/>
  <c r="O46" i="4"/>
  <c r="O27" i="4"/>
  <c r="O35" i="4"/>
  <c r="O31" i="4"/>
  <c r="O23" i="4"/>
  <c r="O42" i="4"/>
  <c r="O24" i="4"/>
  <c r="O28" i="4"/>
  <c r="O25" i="4"/>
  <c r="O29" i="4"/>
  <c r="O37" i="4"/>
  <c r="O48" i="4"/>
  <c r="O20" i="4"/>
  <c r="O57" i="3"/>
  <c r="O97" i="3"/>
  <c r="O113" i="3"/>
  <c r="O46" i="3"/>
  <c r="O54" i="3"/>
  <c r="O62" i="3"/>
  <c r="O70" i="3"/>
  <c r="O78" i="3"/>
  <c r="O86" i="3"/>
  <c r="O73" i="3"/>
  <c r="O105" i="3"/>
  <c r="O106" i="3"/>
  <c r="O110" i="3"/>
  <c r="O49" i="3"/>
  <c r="O65" i="3"/>
  <c r="O81" i="3"/>
  <c r="O109" i="3"/>
  <c r="O43" i="3"/>
  <c r="O51" i="3"/>
  <c r="O59" i="3"/>
  <c r="O67" i="3"/>
  <c r="O75" i="3"/>
  <c r="O83" i="3"/>
  <c r="O95" i="3"/>
  <c r="O135" i="3"/>
  <c r="O88" i="3"/>
  <c r="O92" i="3"/>
  <c r="O96" i="3"/>
  <c r="O104" i="3"/>
  <c r="O122" i="3"/>
  <c r="O129" i="3"/>
  <c r="O12" i="5"/>
  <c r="O10" i="5"/>
  <c r="O14" i="5"/>
  <c r="O15" i="5"/>
  <c r="O16" i="5"/>
  <c r="O13" i="5"/>
  <c r="O19" i="4"/>
  <c r="O36" i="4"/>
  <c r="O39" i="4"/>
  <c r="O33" i="4"/>
  <c r="O43" i="4"/>
  <c r="O32" i="4"/>
  <c r="O47" i="4"/>
  <c r="O49" i="4"/>
  <c r="O41" i="4"/>
  <c r="O42" i="3"/>
  <c r="O45" i="3"/>
  <c r="O58" i="3"/>
  <c r="O61" i="3"/>
  <c r="O74" i="3"/>
  <c r="O77" i="3"/>
  <c r="O114" i="3"/>
  <c r="O117" i="3"/>
  <c r="O90" i="3"/>
  <c r="O93" i="3"/>
  <c r="O136" i="3"/>
  <c r="O56" i="3"/>
  <c r="O72" i="3"/>
  <c r="O112" i="3"/>
  <c r="O50" i="3"/>
  <c r="O53" i="3"/>
  <c r="O66" i="3"/>
  <c r="O69" i="3"/>
  <c r="O82" i="3"/>
  <c r="O85" i="3"/>
  <c r="O128" i="3"/>
  <c r="O48" i="3"/>
  <c r="O64" i="3"/>
  <c r="O80" i="3"/>
  <c r="O98" i="3"/>
  <c r="O101" i="3"/>
  <c r="N8" i="5" l="1"/>
  <c r="G8" i="5"/>
  <c r="N7" i="5"/>
  <c r="G7" i="5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7" i="5" l="1"/>
  <c r="O8" i="5"/>
  <c r="O13" i="4"/>
  <c r="O7" i="4"/>
  <c r="O11" i="4"/>
  <c r="O15" i="4"/>
  <c r="O12" i="4"/>
  <c r="O8" i="4"/>
  <c r="O16" i="4"/>
  <c r="O17" i="4"/>
  <c r="O10" i="4"/>
  <c r="O14" i="4"/>
  <c r="O9" i="4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O18" i="3" l="1"/>
  <c r="O24" i="3"/>
  <c r="O16" i="3"/>
  <c r="O8" i="3"/>
  <c r="O32" i="3"/>
  <c r="O15" i="3"/>
  <c r="O37" i="3"/>
  <c r="O38" i="3"/>
  <c r="O27" i="3"/>
  <c r="O35" i="3"/>
  <c r="O10" i="3"/>
  <c r="O40" i="3"/>
  <c r="O17" i="3"/>
  <c r="O25" i="3"/>
  <c r="O29" i="3"/>
  <c r="O33" i="3"/>
  <c r="O13" i="3"/>
  <c r="O21" i="3"/>
  <c r="O14" i="3"/>
  <c r="O22" i="3"/>
  <c r="O41" i="3"/>
  <c r="O39" i="3"/>
  <c r="O36" i="3"/>
  <c r="O9" i="3"/>
  <c r="O23" i="3"/>
  <c r="O26" i="3"/>
  <c r="O30" i="3"/>
  <c r="O12" i="3"/>
  <c r="O19" i="3"/>
  <c r="O20" i="3"/>
  <c r="O34" i="3"/>
  <c r="O7" i="3"/>
  <c r="O31" i="3"/>
  <c r="O11" i="3"/>
  <c r="O28" i="3"/>
</calcChain>
</file>

<file path=xl/sharedStrings.xml><?xml version="1.0" encoding="utf-8"?>
<sst xmlns="http://schemas.openxmlformats.org/spreadsheetml/2006/main" count="142" uniqueCount="73">
  <si>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</si>
  <si>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</si>
  <si>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</si>
  <si>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</si>
  <si>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</si>
  <si>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</si>
  <si>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</si>
  <si>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</si>
  <si>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</si>
  <si>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</si>
  <si>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</si>
  <si>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</si>
  <si>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</si>
  <si>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</si>
  <si>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</si>
  <si>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</si>
  <si>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</si>
  <si>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</si>
  <si>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</si>
  <si>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</si>
  <si>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</si>
  <si>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</si>
  <si>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</si>
  <si>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</si>
  <si>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</si>
  <si>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</si>
  <si>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</si>
  <si>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</si>
  <si>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</si>
  <si>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</si>
  <si>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</si>
  <si>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</si>
  <si>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</si>
  <si>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</si>
  <si>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</si>
  <si>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</si>
  <si>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</si>
  <si>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</si>
  <si>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</si>
  <si>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</si>
  <si>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</si>
  <si>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</si>
  <si>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</si>
  <si>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</si>
  <si>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</si>
  <si>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</si>
  <si>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</si>
  <si>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</si>
  <si>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</si>
  <si>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</si>
  <si>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</si>
  <si>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</si>
  <si>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</si>
  <si>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</si>
  <si>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</si>
  <si>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</si>
  <si>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</si>
  <si>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</si>
  <si>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</si>
  <si>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</si>
  <si>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t>2021</t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</si>
  <si>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</si>
  <si>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</si>
  <si>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</si>
  <si>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</si>
  <si>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</si>
  <si>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</si>
  <si>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</si>
  <si>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</si>
  <si>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</si>
  <si>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</si>
  <si>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t>Q3-2022</t>
  </si>
  <si>
    <r>
      <t>September-22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</si>
</sst>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_)"/>
    <numFmt numFmtId="171" formatCode="#,##0.0"/>
    <numFmt numFmtId="172" formatCode="_-* #,##0.00\ _F_-;\-* #,##0.00\ _F_-;_-* &quot;-&quot;??\ _F_-;_-@_-"/>
    <numFmt numFmtId="173" formatCode="_ * #,##0.00_ ;_ * \-#,##0.00_ ;_ * &quot;-&quot;??_ ;_ @_ "/>
    <numFmt numFmtId="174" formatCode="General_)"/>
    <numFmt numFmtId="175" formatCode="0.0"/>
    <numFmt numFmtId="176" formatCode="_-* #,##0.00\ &quot;F&quot;_-;\-* #,##0.00\ &quot;F&quot;_-;_-* &quot;-&quot;??\ &quot;F&quot;_-;_-@_-"/>
    <numFmt numFmtId="177" formatCode="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#,##0;[Red]\(#,##0\)"/>
    <numFmt numFmtId="184" formatCode="_-[$€-2]* #,##0.00_-;\-[$€-2]* #,##0.00_-;_-[$€-2]* &quot;-&quot;??_-"/>
    <numFmt numFmtId="185" formatCode="#,#00"/>
    <numFmt numFmtId="186" formatCode="#,"/>
    <numFmt numFmtId="187" formatCode="&quot;Cr$&quot;#,##0_);[Red]\(&quot;Cr$&quot;#,##0\)"/>
    <numFmt numFmtId="188" formatCode="&quot;Cr$&quot;#,##0.00_);[Red]\(&quot;Cr$&quot;#,##0.00\)"/>
    <numFmt numFmtId="189" formatCode="\$#,"/>
    <numFmt numFmtId="190" formatCode="&quot;$&quot;#,#00"/>
    <numFmt numFmtId="191" formatCode="&quot;$&quot;#,"/>
    <numFmt numFmtId="192" formatCode="[&gt;=0.05]#,##0.0;[&lt;=-0.05]\-#,##0.0;?0.0"/>
    <numFmt numFmtId="193" formatCode="[Black]#,##0.0;[Black]\-#,##0.0;;"/>
    <numFmt numFmtId="194" formatCode="[Black][&gt;0.05]#,##0.0;[Black][&lt;-0.05]\-#,##0.0;;"/>
    <numFmt numFmtId="195" formatCode="[Black][&gt;0.5]#,##0;[Black][&lt;-0.5]\-#,##0;;"/>
    <numFmt numFmtId="196" formatCode="%#,#00"/>
    <numFmt numFmtId="197" formatCode="#.##000"/>
    <numFmt numFmtId="198" formatCode="dd\-mmm\-yy_)"/>
    <numFmt numFmtId="199" formatCode="#,##0.0____"/>
    <numFmt numFmtId="200" formatCode="#.##0,"/>
    <numFmt numFmtId="201" formatCode="#,##0.000000"/>
    <numFmt numFmtId="202" formatCode="General\ \ \ \ \ \ "/>
    <numFmt numFmtId="203" formatCode="0.0\ \ \ \ \ \ \ \ "/>
    <numFmt numFmtId="204" formatCode="mmmm\ yyyy"/>
    <numFmt numFmtId="205" formatCode="\$#,##0.00\ ;\(\$#,##0.00\)"/>
    <numFmt numFmtId="206" formatCode="[&gt;=0.05]#,##0.0;[&lt;=-0.05]\-#,##0.0;?\-\-"/>
    <numFmt numFmtId="207" formatCode="[&gt;=0.05]\(#,##0.0\);[&lt;=-0.05]\(\-#,##0.0\);?\(\-\-\)"/>
    <numFmt numFmtId="208" formatCode="[&gt;=0.05]\(#,##0.0\);[&lt;=-0.05]\(\-#,##0.0\);\(\-\-\);\(@\)"/>
    <numFmt numFmtId="209" formatCode="_-* #,##0.00\ [$€]_-;\-* #,##0.00\ [$€]_-;_-* &quot;-&quot;??\ [$€]_-;_-@_-"/>
    <numFmt numFmtId="210" formatCode="[$-409]dd\-mmm\-yy;@"/>
    <numFmt numFmtId="211" formatCode="[$-409]mmm\-yy;@"/>
    <numFmt numFmtId="212" formatCode="[$-409]mmmm\-yy;@"/>
    <numFmt numFmtId="213" formatCode="[$-40C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69" fontId="0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17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5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3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5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5" fontId="12" fillId="0" borderId="0">
      <protection locked="0"/>
    </xf>
    <xf numFmtId="2" fontId="5" fillId="0" borderId="0" applyFont="0" applyFill="0" applyBorder="0" applyAlignment="0" applyProtection="0"/>
    <xf numFmtId="185" fontId="12" fillId="0" borderId="0">
      <protection locked="0"/>
    </xf>
    <xf numFmtId="38" fontId="25" fillId="6" borderId="0" applyNumberFormat="0" applyBorder="0" applyAlignment="0" applyProtection="0"/>
    <xf numFmtId="186" fontId="26" fillId="0" borderId="0">
      <protection locked="0"/>
    </xf>
    <xf numFmtId="186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7" fontId="31" fillId="0" borderId="0" applyNumberFormat="0">
      <alignment horizontal="centerContinuous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189" fontId="12" fillId="0" borderId="0">
      <protection locked="0"/>
    </xf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0" fontId="12" fillId="0" borderId="0">
      <protection locked="0"/>
    </xf>
    <xf numFmtId="191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4" fontId="4" fillId="0" borderId="0"/>
    <xf numFmtId="192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2" fillId="0" borderId="0">
      <protection locked="0"/>
    </xf>
    <xf numFmtId="197" fontId="12" fillId="0" borderId="0">
      <protection locked="0"/>
    </xf>
    <xf numFmtId="198" fontId="5" fillId="0" borderId="0" applyFont="0" applyFill="0" applyBorder="0" applyAlignment="0" applyProtection="0"/>
    <xf numFmtId="196" fontId="12" fillId="0" borderId="0">
      <protection locked="0"/>
    </xf>
    <xf numFmtId="199" fontId="7" fillId="0" borderId="0" applyFill="0" applyBorder="0" applyAlignment="0">
      <alignment horizontal="centerContinuous"/>
    </xf>
    <xf numFmtId="0" fontId="11" fillId="0" borderId="0"/>
    <xf numFmtId="197" fontId="12" fillId="0" borderId="0">
      <protection locked="0"/>
    </xf>
    <xf numFmtId="200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1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7" fontId="12" fillId="0" borderId="0">
      <protection locked="0"/>
    </xf>
    <xf numFmtId="200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2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3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4" fontId="7" fillId="0" borderId="0">
      <alignment horizontal="right"/>
    </xf>
    <xf numFmtId="0" fontId="60" fillId="0" borderId="0" applyProtection="0"/>
    <xf numFmtId="205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83" fontId="5" fillId="0" borderId="0"/>
    <xf numFmtId="174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4" fontId="4" fillId="0" borderId="0"/>
    <xf numFmtId="174" fontId="4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4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8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201" fontId="5" fillId="0" borderId="0">
      <protection locked="0"/>
    </xf>
    <xf numFmtId="174" fontId="4" fillId="0" borderId="0"/>
    <xf numFmtId="174" fontId="4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174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4" fontId="4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0" fontId="5" fillId="0" borderId="0"/>
    <xf numFmtId="0" fontId="8" fillId="0" borderId="0"/>
    <xf numFmtId="17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174" fontId="4" fillId="0" borderId="0"/>
    <xf numFmtId="43" fontId="5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4" fontId="4" fillId="0" borderId="0"/>
    <xf numFmtId="0" fontId="8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4" fillId="0" borderId="0"/>
    <xf numFmtId="173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172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174" fontId="4" fillId="0" borderId="0"/>
    <xf numFmtId="174" fontId="4" fillId="0" borderId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4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9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4" fontId="4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170" fontId="4" fillId="0" borderId="0"/>
    <xf numFmtId="172" fontId="6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4" fontId="4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68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68" fontId="7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9" fillId="0" borderId="0"/>
    <xf numFmtId="0" fontId="7" fillId="0" borderId="0"/>
    <xf numFmtId="169" fontId="4" fillId="0" borderId="0"/>
    <xf numFmtId="206" fontId="7" fillId="0" borderId="0" applyFill="0" applyBorder="0" applyProtection="0">
      <alignment horizontal="right"/>
    </xf>
    <xf numFmtId="0" fontId="2" fillId="0" borderId="0"/>
    <xf numFmtId="169" fontId="4" fillId="0" borderId="0"/>
    <xf numFmtId="207" fontId="6" fillId="0" borderId="0">
      <alignment horizontal="right"/>
    </xf>
    <xf numFmtId="208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9" fontId="5" fillId="0" borderId="0" applyFont="0" applyFill="0" applyBorder="0" applyAlignment="0" applyProtection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4" fontId="4" fillId="0" borderId="0"/>
    <xf numFmtId="174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172" fontId="5" fillId="0" borderId="0" applyFont="0" applyFill="0" applyBorder="0" applyAlignment="0" applyProtection="0"/>
    <xf numFmtId="174" fontId="4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4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174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174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169" fontId="0" fillId="0" borderId="0" xfId="0"/>
    <xf numFmtId="169" fontId="3" fillId="0" borderId="0" xfId="0" applyNumberFormat="1" applyFont="1" applyBorder="1" applyAlignment="1" applyProtection="1">
      <alignment horizontal="left"/>
    </xf>
    <xf numFmtId="169" fontId="0" fillId="0" borderId="0" xfId="0" applyFont="1"/>
    <xf numFmtId="169" fontId="76" fillId="0" borderId="2" xfId="0" applyNumberFormat="1" applyFont="1" applyBorder="1" applyAlignment="1" applyProtection="1">
      <alignment horizontal="left"/>
    </xf>
    <xf numFmtId="171" fontId="76" fillId="0" borderId="0" xfId="0" applyNumberFormat="1" applyFont="1" applyBorder="1" applyAlignment="1" applyProtection="1">
      <alignment horizontal="left"/>
    </xf>
    <xf numFmtId="169" fontId="76" fillId="0" borderId="0" xfId="0" applyFont="1" applyBorder="1"/>
    <xf numFmtId="169" fontId="76" fillId="0" borderId="0" xfId="0" applyNumberFormat="1" applyFont="1" applyBorder="1" applyAlignment="1" applyProtection="1">
      <alignment horizontal="left"/>
    </xf>
    <xf numFmtId="169" fontId="76" fillId="0" borderId="0" xfId="0" applyNumberFormat="1" applyFont="1" applyFill="1" applyBorder="1" applyAlignment="1" applyProtection="1">
      <alignment horizontal="left"/>
    </xf>
    <xf numFmtId="169" fontId="76" fillId="0" borderId="2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Border="1" applyAlignment="1" applyProtection="1">
      <alignment horizontal="fill"/>
    </xf>
    <xf numFmtId="169" fontId="76" fillId="0" borderId="0" xfId="0" applyNumberFormat="1" applyFont="1" applyFill="1" applyBorder="1" applyAlignment="1" applyProtection="1">
      <alignment horizontal="fill"/>
    </xf>
    <xf numFmtId="169" fontId="76" fillId="0" borderId="7" xfId="0" applyNumberFormat="1" applyFont="1" applyBorder="1" applyAlignment="1" applyProtection="1">
      <alignment horizontal="fill"/>
    </xf>
    <xf numFmtId="169" fontId="76" fillId="0" borderId="0" xfId="0" applyFont="1"/>
    <xf numFmtId="169" fontId="0" fillId="0" borderId="0" xfId="0" applyAlignment="1">
      <alignment horizontal="center"/>
    </xf>
    <xf numFmtId="169" fontId="79" fillId="0" borderId="0" xfId="0" applyFont="1"/>
    <xf numFmtId="169" fontId="80" fillId="0" borderId="0" xfId="0" applyFont="1"/>
    <xf numFmtId="169" fontId="81" fillId="0" borderId="0" xfId="0" applyFont="1"/>
    <xf numFmtId="169" fontId="82" fillId="17" borderId="18" xfId="0" applyFont="1" applyFill="1" applyBorder="1"/>
    <xf numFmtId="169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0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69" fontId="84" fillId="0" borderId="0" xfId="0" applyFont="1"/>
    <xf numFmtId="169" fontId="75" fillId="0" borderId="7" xfId="0" applyNumberFormat="1" applyFont="1" applyBorder="1" applyAlignment="1" applyProtection="1">
      <alignment horizontal="center"/>
    </xf>
    <xf numFmtId="171" fontId="78" fillId="0" borderId="9" xfId="0" applyNumberFormat="1" applyFont="1" applyBorder="1" applyAlignment="1">
      <alignment horizontal="right"/>
    </xf>
    <xf numFmtId="171" fontId="78" fillId="0" borderId="9" xfId="0" applyNumberFormat="1" applyFont="1" applyFill="1" applyBorder="1" applyAlignment="1">
      <alignment horizontal="right"/>
    </xf>
    <xf numFmtId="171" fontId="78" fillId="0" borderId="9" xfId="0" applyNumberFormat="1" applyFont="1" applyBorder="1" applyAlignment="1" applyProtection="1">
      <alignment horizontal="right"/>
    </xf>
    <xf numFmtId="169" fontId="85" fillId="0" borderId="0" xfId="0" applyFont="1"/>
    <xf numFmtId="169" fontId="75" fillId="19" borderId="9" xfId="0" applyNumberFormat="1" applyFont="1" applyFill="1" applyBorder="1" applyAlignment="1" applyProtection="1">
      <alignment horizontal="center" vertical="center"/>
    </xf>
    <xf numFmtId="169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69" fontId="87" fillId="0" borderId="0" xfId="0" applyFont="1" applyAlignment="1">
      <alignment horizontal="justify" vertical="center"/>
    </xf>
    <xf numFmtId="211" fontId="81" fillId="18" borderId="0" xfId="0" applyNumberFormat="1" applyFont="1" applyFill="1" applyAlignment="1">
      <alignment horizontal="right"/>
    </xf>
    <xf numFmtId="169" fontId="78" fillId="0" borderId="0" xfId="0" applyFont="1"/>
    <xf numFmtId="170" fontId="89" fillId="0" borderId="0" xfId="0" applyNumberFormat="1" applyFont="1" applyBorder="1" applyProtection="1"/>
    <xf numFmtId="169" fontId="89" fillId="0" borderId="0" xfId="0" applyNumberFormat="1" applyFont="1" applyBorder="1" applyAlignment="1" applyProtection="1">
      <alignment horizontal="left"/>
    </xf>
    <xf numFmtId="169" fontId="89" fillId="0" borderId="0" xfId="0" applyFont="1" applyBorder="1"/>
    <xf numFmtId="169" fontId="89" fillId="0" borderId="0" xfId="0" applyNumberFormat="1" applyFont="1" applyBorder="1" applyAlignment="1" applyProtection="1">
      <alignment horizontal="center"/>
    </xf>
    <xf numFmtId="169" fontId="90" fillId="0" borderId="0" xfId="0" applyFont="1"/>
    <xf numFmtId="170" fontId="89" fillId="0" borderId="0" xfId="0" applyNumberFormat="1" applyFont="1" applyBorder="1" applyAlignment="1" applyProtection="1">
      <alignment horizontal="center"/>
    </xf>
    <xf numFmtId="169" fontId="89" fillId="0" borderId="0" xfId="0" applyNumberFormat="1" applyFont="1" applyBorder="1" applyAlignment="1" applyProtection="1">
      <alignment horizontal="centerContinuous"/>
    </xf>
    <xf numFmtId="169" fontId="91" fillId="0" borderId="0" xfId="0" applyFont="1"/>
    <xf numFmtId="169" fontId="77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/>
    </xf>
    <xf numFmtId="169" fontId="78" fillId="0" borderId="9" xfId="0" applyFont="1" applyBorder="1" applyAlignment="1">
      <alignment horizontal="center" vertical="center" wrapText="1"/>
    </xf>
    <xf numFmtId="169" fontId="75" fillId="0" borderId="0" xfId="0" applyNumberFormat="1" applyFont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/>
    </xf>
    <xf numFmtId="169" fontId="93" fillId="0" borderId="0" xfId="0" applyFont="1" applyBorder="1" applyAlignment="1"/>
    <xf numFmtId="169" fontId="93" fillId="0" borderId="7" xfId="0" applyFont="1" applyBorder="1" applyAlignment="1"/>
    <xf numFmtId="169" fontId="85" fillId="0" borderId="0" xfId="0" applyFont="1" applyBorder="1"/>
    <xf numFmtId="0" fontId="70" fillId="18" borderId="0" xfId="1137" applyFill="1" applyAlignment="1" applyProtection="1"/>
    <xf numFmtId="169" fontId="70" fillId="0" borderId="0" xfId="1137" applyNumberFormat="1" applyAlignment="1" applyProtection="1"/>
    <xf numFmtId="212" fontId="78" fillId="0" borderId="9" xfId="0" quotePrefix="1" applyNumberFormat="1" applyFont="1" applyFill="1" applyBorder="1" applyAlignment="1" applyProtection="1">
      <alignment horizontal="left"/>
    </xf>
    <xf numFmtId="169" fontId="76" fillId="0" borderId="3" xfId="0" applyFont="1" applyBorder="1"/>
    <xf numFmtId="169" fontId="76" fillId="0" borderId="4" xfId="0" applyFont="1" applyBorder="1"/>
    <xf numFmtId="169" fontId="76" fillId="0" borderId="7" xfId="0" applyFont="1" applyBorder="1"/>
    <xf numFmtId="169" fontId="75" fillId="0" borderId="2" xfId="0" applyFont="1" applyBorder="1"/>
    <xf numFmtId="169" fontId="75" fillId="0" borderId="0" xfId="0" applyFont="1" applyBorder="1"/>
    <xf numFmtId="169" fontId="75" fillId="0" borderId="8" xfId="0" applyFont="1" applyBorder="1"/>
    <xf numFmtId="169" fontId="75" fillId="0" borderId="3" xfId="0" applyFont="1" applyBorder="1"/>
    <xf numFmtId="169" fontId="75" fillId="19" borderId="9" xfId="0" applyFont="1" applyFill="1" applyBorder="1" applyAlignment="1">
      <alignment horizontal="center" vertical="center" wrapText="1"/>
    </xf>
    <xf numFmtId="169" fontId="78" fillId="0" borderId="9" xfId="0" applyFont="1" applyBorder="1" applyAlignment="1">
      <alignment horizontal="center"/>
    </xf>
    <xf numFmtId="169" fontId="94" fillId="0" borderId="0" xfId="0" applyFont="1" applyAlignment="1">
      <alignment horizontal="center" wrapText="1"/>
    </xf>
    <xf numFmtId="169" fontId="70" fillId="0" borderId="21" xfId="1137" applyNumberFormat="1" applyBorder="1" applyAlignment="1" applyProtection="1"/>
    <xf numFmtId="169" fontId="0" fillId="0" borderId="1" xfId="0" applyBorder="1"/>
    <xf numFmtId="169" fontId="86" fillId="0" borderId="6" xfId="0" applyFont="1" applyBorder="1"/>
    <xf numFmtId="169" fontId="76" fillId="0" borderId="8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Border="1" applyAlignment="1" applyProtection="1">
      <alignment horizontal="fill"/>
    </xf>
    <xf numFmtId="169" fontId="76" fillId="0" borderId="3" xfId="0" applyNumberFormat="1" applyFont="1" applyFill="1" applyBorder="1" applyAlignment="1" applyProtection="1">
      <alignment horizontal="fill"/>
    </xf>
    <xf numFmtId="169" fontId="76" fillId="0" borderId="4" xfId="0" applyNumberFormat="1" applyFont="1" applyBorder="1" applyAlignment="1" applyProtection="1">
      <alignment horizontal="fill"/>
    </xf>
    <xf numFmtId="213" fontId="78" fillId="0" borderId="9" xfId="0" quotePrefix="1" applyNumberFormat="1" applyFont="1" applyBorder="1" applyAlignment="1" applyProtection="1">
      <alignment horizontal="left"/>
    </xf>
    <xf numFmtId="169" fontId="93" fillId="0" borderId="2" xfId="0" applyFont="1" applyBorder="1" applyAlignment="1">
      <alignment horizontal="center"/>
    </xf>
    <xf numFmtId="169" fontId="93" fillId="0" borderId="0" xfId="0" applyFont="1" applyBorder="1" applyAlignment="1">
      <alignment horizontal="center"/>
    </xf>
    <xf numFmtId="169" fontId="93" fillId="0" borderId="7" xfId="0" applyFont="1" applyBorder="1" applyAlignment="1">
      <alignment horizontal="center"/>
    </xf>
    <xf numFmtId="169" fontId="75" fillId="19" borderId="9" xfId="0" applyNumberFormat="1" applyFont="1" applyFill="1" applyBorder="1" applyAlignment="1" applyProtection="1">
      <alignment horizontal="center"/>
    </xf>
    <xf numFmtId="169" fontId="75" fillId="19" borderId="9" xfId="0" applyFont="1" applyFill="1" applyBorder="1" applyAlignment="1">
      <alignment horizontal="center" vertical="center" wrapText="1"/>
    </xf>
    <xf numFmtId="169" fontId="75" fillId="19" borderId="19" xfId="0" applyFont="1" applyFill="1" applyBorder="1" applyAlignment="1">
      <alignment horizontal="center" vertical="center"/>
    </xf>
    <xf numFmtId="169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 builtinId="8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E23" sqref="E23"/>
    </sheetView>
  </sheetViews>
  <sheetFormatPr baseColWidth="10"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44834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71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60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7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6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94"/>
  <sheetViews>
    <sheetView workbookViewId="0">
      <pane xSplit="1" ySplit="6" topLeftCell="N171" activePane="bottomRight" state="frozen"/>
      <selection pane="topRight" activeCell="B1" sqref="B1"/>
      <selection pane="bottomLeft" activeCell="A7" sqref="A7"/>
      <selection pane="bottomRight" activeCell="A182" sqref="A182:XFD182"/>
    </sheetView>
  </sheetViews>
  <sheetFormatPr baseColWidth="10"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68" t="s">
        <v>11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 t="s">
        <v>53</v>
      </c>
    </row>
    <row r="2" spans="1:19" s="29" customFormat="1" ht="19.5">
      <c r="A2" s="77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1"/>
      <c r="B4" s="72"/>
      <c r="C4" s="73"/>
      <c r="D4" s="73"/>
      <c r="E4" s="74"/>
      <c r="F4" s="73"/>
      <c r="G4" s="73"/>
      <c r="H4" s="73"/>
      <c r="I4" s="73"/>
      <c r="J4" s="73"/>
      <c r="K4" s="73"/>
      <c r="L4" s="73"/>
      <c r="M4" s="73"/>
      <c r="N4" s="73"/>
      <c r="O4" s="75"/>
    </row>
    <row r="5" spans="1:19" s="29" customFormat="1" ht="15.75" customHeight="1">
      <c r="A5" s="82" t="s">
        <v>36</v>
      </c>
      <c r="B5" s="80" t="s">
        <v>27</v>
      </c>
      <c r="C5" s="80"/>
      <c r="D5" s="80"/>
      <c r="E5" s="80"/>
      <c r="F5" s="80"/>
      <c r="G5" s="80"/>
      <c r="H5" s="80" t="s">
        <v>49</v>
      </c>
      <c r="I5" s="80"/>
      <c r="J5" s="80"/>
      <c r="K5" s="80"/>
      <c r="L5" s="80"/>
      <c r="M5" s="80"/>
      <c r="N5" s="80"/>
      <c r="O5" s="81" t="s">
        <v>35</v>
      </c>
    </row>
    <row r="6" spans="1:19" s="29" customFormat="1" ht="93.75">
      <c r="A6" s="83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34" t="s">
        <v>48</v>
      </c>
      <c r="N6" s="34" t="s">
        <v>1</v>
      </c>
      <c r="O6" s="81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41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41" si="3">SUM(H39:M39)</f>
        <v>201929.30000000002</v>
      </c>
      <c r="O39" s="28">
        <f t="shared" ref="O39:O89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>SUM(B42:F42)</f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8">
        <v>3236.4844970000017</v>
      </c>
      <c r="M42" s="28">
        <v>40070.499999999993</v>
      </c>
      <c r="N42" s="28">
        <f t="shared" ref="N42:N105" si="5">SUM(H42:M42)</f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ref="G43:G106" si="6">SUM(B43:F43)</f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5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6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5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6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5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6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5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6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5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6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5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6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5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6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5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6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5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6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5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6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5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6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5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6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5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6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5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6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5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6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5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6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5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6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5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6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5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6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5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6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5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6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5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6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5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6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5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6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5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6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5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6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5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6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5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si="6"/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si="5"/>
        <v>316710.03333333333</v>
      </c>
      <c r="O71" s="28">
        <f t="shared" si="4"/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6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5"/>
        <v>309277.60000000003</v>
      </c>
      <c r="O72" s="28">
        <f t="shared" si="4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6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5"/>
        <v>322050.00000000006</v>
      </c>
      <c r="O73" s="28">
        <f t="shared" si="4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6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5"/>
        <v>336249.90000000008</v>
      </c>
      <c r="O74" s="28">
        <f t="shared" si="4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6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5"/>
        <v>336128.00000000006</v>
      </c>
      <c r="O75" s="28">
        <f t="shared" si="4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6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5"/>
        <v>353655.2</v>
      </c>
      <c r="O76" s="28">
        <f t="shared" si="4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6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5"/>
        <v>346676.49999999988</v>
      </c>
      <c r="O77" s="28">
        <f t="shared" si="4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6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5"/>
        <v>340039.9</v>
      </c>
      <c r="O78" s="28">
        <f t="shared" si="4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6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5"/>
        <v>344968.71666666667</v>
      </c>
      <c r="O79" s="28">
        <f t="shared" si="4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6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5"/>
        <v>350775.33333333337</v>
      </c>
      <c r="O80" s="28">
        <f t="shared" si="4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6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5"/>
        <v>329689.05000000005</v>
      </c>
      <c r="O81" s="28">
        <f t="shared" si="4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6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5"/>
        <v>340314.86666666664</v>
      </c>
      <c r="O82" s="28">
        <f t="shared" si="4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6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5"/>
        <v>338497.78333333327</v>
      </c>
      <c r="O83" s="28">
        <f t="shared" si="4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6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5"/>
        <v>348063.3</v>
      </c>
      <c r="O84" s="28">
        <f t="shared" si="4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6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5"/>
        <v>345521.59999999992</v>
      </c>
      <c r="O85" s="28">
        <f t="shared" si="4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6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5"/>
        <v>344819.67777777778</v>
      </c>
      <c r="O86" s="28">
        <f t="shared" si="4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6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5"/>
        <v>328191.04444444453</v>
      </c>
      <c r="O87" s="28">
        <f t="shared" si="4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6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5"/>
        <v>357167.03703703714</v>
      </c>
      <c r="O88" s="28">
        <f t="shared" si="4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6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5"/>
        <v>353597.41358024679</v>
      </c>
      <c r="O89" s="28">
        <f t="shared" si="4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6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5"/>
        <v>358865.7</v>
      </c>
      <c r="O90" s="28">
        <f>N90+G90</f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6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5"/>
        <v>356726.56666666659</v>
      </c>
      <c r="O91" s="28">
        <f t="shared" ref="O91:O134" si="7">N91+G91</f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6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5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6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5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6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5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6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5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6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5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6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5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6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5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6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5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6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5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6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5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6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5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6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si="5"/>
        <v>347618.23333333334</v>
      </c>
      <c r="O103" s="28">
        <f t="shared" si="7"/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6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5"/>
        <v>360173.16666666663</v>
      </c>
      <c r="O104" s="28">
        <f t="shared" si="7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6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5"/>
        <v>350641.69999999995</v>
      </c>
      <c r="O105" s="28">
        <f t="shared" si="7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6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ref="N106:N134" si="8">SUM(H106:M106)</f>
        <v>360799.33333333331</v>
      </c>
      <c r="O106" s="28">
        <f t="shared" si="7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ref="G107:G137" si="9">SUM(B107:F107)</f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7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9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7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9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7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9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7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9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7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9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7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9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7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si="9"/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-60227.500000000029</v>
      </c>
      <c r="M114" s="28">
        <v>-39482.000000000044</v>
      </c>
      <c r="N114" s="28">
        <f t="shared" si="8"/>
        <v>474763.09999999992</v>
      </c>
      <c r="O114" s="28">
        <f t="shared" si="7"/>
        <v>1709473.5999999999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9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-76105.383333333302</v>
      </c>
      <c r="M115" s="28">
        <v>-51638.700000000012</v>
      </c>
      <c r="N115" s="28">
        <f t="shared" si="8"/>
        <v>452688.50000000006</v>
      </c>
      <c r="O115" s="28">
        <f t="shared" si="7"/>
        <v>1726646.7666666666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9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-53894.566666666695</v>
      </c>
      <c r="M116" s="28">
        <v>-118852.60000000009</v>
      </c>
      <c r="N116" s="28">
        <f t="shared" si="8"/>
        <v>419067.49999999988</v>
      </c>
      <c r="O116" s="28">
        <f t="shared" si="7"/>
        <v>1721241.0333333332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9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-47863.149999999921</v>
      </c>
      <c r="M117" s="28">
        <v>-135584.70000000004</v>
      </c>
      <c r="N117" s="28">
        <f t="shared" si="8"/>
        <v>402721.4</v>
      </c>
      <c r="O117" s="28">
        <f t="shared" si="7"/>
        <v>1752795.2000000002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9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-85208.966666666718</v>
      </c>
      <c r="M118" s="28">
        <v>-126655.59999999995</v>
      </c>
      <c r="N118" s="28">
        <f t="shared" si="8"/>
        <v>379155</v>
      </c>
      <c r="O118" s="28">
        <f t="shared" si="7"/>
        <v>1765320.6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9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-52345.483333333308</v>
      </c>
      <c r="M119" s="28">
        <v>-151074.79999999999</v>
      </c>
      <c r="N119" s="28">
        <f t="shared" si="8"/>
        <v>384645.40000000008</v>
      </c>
      <c r="O119" s="28">
        <f t="shared" si="7"/>
        <v>1810027.6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9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-77018.399999999994</v>
      </c>
      <c r="M120" s="28">
        <v>-141703.20000000001</v>
      </c>
      <c r="N120" s="28">
        <f t="shared" si="8"/>
        <v>391310.49999999994</v>
      </c>
      <c r="O120" s="28">
        <f t="shared" si="7"/>
        <v>1861454.4000000001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9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-80090.3</v>
      </c>
      <c r="M121" s="28">
        <v>-145418.33333333328</v>
      </c>
      <c r="N121" s="28">
        <f t="shared" si="8"/>
        <v>391858.19999999995</v>
      </c>
      <c r="O121" s="28">
        <f t="shared" si="7"/>
        <v>1866546.6166666667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9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-75316.700000000012</v>
      </c>
      <c r="M122" s="28">
        <v>-144820.66666666666</v>
      </c>
      <c r="N122" s="28">
        <f t="shared" si="8"/>
        <v>404446.9</v>
      </c>
      <c r="O122" s="28">
        <f t="shared" si="7"/>
        <v>1895721.7333333334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9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-39567.100000000006</v>
      </c>
      <c r="M123" s="28">
        <v>-156505.49999999997</v>
      </c>
      <c r="N123" s="28">
        <f t="shared" si="8"/>
        <v>436035.5</v>
      </c>
      <c r="O123" s="28">
        <f t="shared" si="7"/>
        <v>1919839.75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9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-58887.700000000041</v>
      </c>
      <c r="M124" s="28">
        <v>-119700.16666666661</v>
      </c>
      <c r="N124" s="28">
        <f t="shared" si="8"/>
        <v>446549.76666666672</v>
      </c>
      <c r="O124" s="28">
        <f t="shared" si="7"/>
        <v>1951174.0666666669</v>
      </c>
    </row>
    <row r="125" spans="1:15" s="2" customFormat="1">
      <c r="A125" s="57">
        <v>43100</v>
      </c>
      <c r="B125" s="26">
        <v>243943.09999999998</v>
      </c>
      <c r="C125" s="26">
        <v>705910.41666666686</v>
      </c>
      <c r="D125" s="26">
        <v>348418.93333333341</v>
      </c>
      <c r="E125" s="27">
        <v>167242.79999999999</v>
      </c>
      <c r="F125" s="26">
        <v>56276.200000000004</v>
      </c>
      <c r="G125" s="28">
        <f t="shared" si="9"/>
        <v>1521791.4500000002</v>
      </c>
      <c r="H125" s="26">
        <v>12925.6</v>
      </c>
      <c r="I125" s="26">
        <v>15512</v>
      </c>
      <c r="J125" s="26">
        <v>520895.26666666666</v>
      </c>
      <c r="K125" s="26">
        <v>77940.400000000009</v>
      </c>
      <c r="L125" s="28">
        <v>-40328.800000000003</v>
      </c>
      <c r="M125" s="28">
        <v>-134064.33333333337</v>
      </c>
      <c r="N125" s="28">
        <f t="shared" si="8"/>
        <v>452880.1333333333</v>
      </c>
      <c r="O125" s="28">
        <f t="shared" si="7"/>
        <v>1974671.5833333335</v>
      </c>
    </row>
    <row r="126" spans="1:15" s="2" customFormat="1">
      <c r="A126" s="57">
        <v>43131</v>
      </c>
      <c r="B126" s="26">
        <v>263446.60000000003</v>
      </c>
      <c r="C126" s="26">
        <v>732242.5</v>
      </c>
      <c r="D126" s="26">
        <v>345183.6</v>
      </c>
      <c r="E126" s="27">
        <v>158586.29999999999</v>
      </c>
      <c r="F126" s="26">
        <v>57180.100000000006</v>
      </c>
      <c r="G126" s="28">
        <f>SUM(B126:F126)</f>
        <v>1556639.1000000003</v>
      </c>
      <c r="H126" s="26">
        <v>12022.2</v>
      </c>
      <c r="I126" s="26">
        <v>17665.900000000001</v>
      </c>
      <c r="J126" s="26">
        <v>514286.39999999997</v>
      </c>
      <c r="K126" s="26">
        <v>77484.100000000006</v>
      </c>
      <c r="L126" s="28">
        <v>-55319.700000000077</v>
      </c>
      <c r="M126" s="28">
        <v>-133064.19999999998</v>
      </c>
      <c r="N126" s="28">
        <f t="shared" si="8"/>
        <v>433074.69999999995</v>
      </c>
      <c r="O126" s="28">
        <f t="shared" si="7"/>
        <v>1989713.8000000003</v>
      </c>
    </row>
    <row r="127" spans="1:15" s="2" customFormat="1">
      <c r="A127" s="57">
        <v>43159</v>
      </c>
      <c r="B127" s="26">
        <v>241204.08333333331</v>
      </c>
      <c r="C127" s="26">
        <v>763376.16666666698</v>
      </c>
      <c r="D127" s="26">
        <v>355783.28333333338</v>
      </c>
      <c r="E127" s="27">
        <v>157979.9</v>
      </c>
      <c r="F127" s="26">
        <v>57480.800000000003</v>
      </c>
      <c r="G127" s="28">
        <f t="shared" si="9"/>
        <v>1575824.2333333336</v>
      </c>
      <c r="H127" s="26">
        <v>12119.800000000001</v>
      </c>
      <c r="I127" s="26">
        <v>25105.7</v>
      </c>
      <c r="J127" s="26">
        <v>518820.78333333338</v>
      </c>
      <c r="K127" s="26">
        <v>77484.100000000006</v>
      </c>
      <c r="L127" s="28">
        <v>-74928.366666666596</v>
      </c>
      <c r="M127" s="28">
        <v>-169299.95</v>
      </c>
      <c r="N127" s="28">
        <f t="shared" si="8"/>
        <v>389302.06666666683</v>
      </c>
      <c r="O127" s="28">
        <f t="shared" si="7"/>
        <v>1965126.3000000005</v>
      </c>
    </row>
    <row r="128" spans="1:15" s="2" customFormat="1">
      <c r="A128" s="57">
        <v>43190</v>
      </c>
      <c r="B128" s="26">
        <v>241016.06666666671</v>
      </c>
      <c r="C128" s="26">
        <v>778250.03333333356</v>
      </c>
      <c r="D128" s="26">
        <v>365905.76666666666</v>
      </c>
      <c r="E128" s="27">
        <v>166017</v>
      </c>
      <c r="F128" s="26">
        <v>58596.5</v>
      </c>
      <c r="G128" s="28">
        <f t="shared" si="9"/>
        <v>1609785.3666666669</v>
      </c>
      <c r="H128" s="26">
        <v>12148.8</v>
      </c>
      <c r="I128" s="26">
        <v>28298.5</v>
      </c>
      <c r="J128" s="26">
        <v>520507.76666666666</v>
      </c>
      <c r="K128" s="26">
        <v>77484.100000000006</v>
      </c>
      <c r="L128" s="28">
        <v>-54151.733333333272</v>
      </c>
      <c r="M128" s="28">
        <v>-128230.20000000006</v>
      </c>
      <c r="N128" s="28">
        <f t="shared" si="8"/>
        <v>456057.23333333328</v>
      </c>
      <c r="O128" s="28">
        <f t="shared" si="7"/>
        <v>2065842.6</v>
      </c>
    </row>
    <row r="129" spans="1:15" s="2" customFormat="1">
      <c r="A129" s="57">
        <v>43220</v>
      </c>
      <c r="B129" s="26">
        <v>249480.1</v>
      </c>
      <c r="C129" s="26">
        <v>788754.29999999993</v>
      </c>
      <c r="D129" s="26">
        <v>366927.89999999991</v>
      </c>
      <c r="E129" s="27">
        <v>171240.60000000003</v>
      </c>
      <c r="F129" s="26">
        <v>59888.800000000003</v>
      </c>
      <c r="G129" s="28">
        <f t="shared" si="9"/>
        <v>1636291.7</v>
      </c>
      <c r="H129" s="26">
        <v>11284.9</v>
      </c>
      <c r="I129" s="26">
        <v>25616.3</v>
      </c>
      <c r="J129" s="26">
        <v>518835.99999999994</v>
      </c>
      <c r="K129" s="26">
        <v>78569.400000000009</v>
      </c>
      <c r="L129" s="28">
        <v>-90223.500000000058</v>
      </c>
      <c r="M129" s="28">
        <v>-146644.70000000001</v>
      </c>
      <c r="N129" s="28">
        <f t="shared" si="8"/>
        <v>397438.39999999985</v>
      </c>
      <c r="O129" s="28">
        <f t="shared" si="7"/>
        <v>2033730.0999999999</v>
      </c>
    </row>
    <row r="130" spans="1:15" s="2" customFormat="1">
      <c r="A130" s="57">
        <v>43251</v>
      </c>
      <c r="B130" s="26">
        <v>246910.8</v>
      </c>
      <c r="C130" s="26">
        <v>791406.00000000012</v>
      </c>
      <c r="D130" s="26">
        <v>365251.69999999995</v>
      </c>
      <c r="E130" s="27">
        <v>169605.7</v>
      </c>
      <c r="F130" s="26">
        <v>61130.399999999994</v>
      </c>
      <c r="G130" s="28">
        <f t="shared" si="9"/>
        <v>1634304.5999999999</v>
      </c>
      <c r="H130" s="26">
        <v>11352.5</v>
      </c>
      <c r="I130" s="26">
        <v>26193</v>
      </c>
      <c r="J130" s="26">
        <v>523479.80000000005</v>
      </c>
      <c r="K130" s="26">
        <v>78569.400000000009</v>
      </c>
      <c r="L130" s="28">
        <v>-67280.733333333352</v>
      </c>
      <c r="M130" s="28">
        <v>-159188.1333333333</v>
      </c>
      <c r="N130" s="28">
        <f t="shared" si="8"/>
        <v>413125.83333333337</v>
      </c>
      <c r="O130" s="28">
        <f t="shared" si="7"/>
        <v>2047430.4333333331</v>
      </c>
    </row>
    <row r="131" spans="1:15" s="2" customFormat="1">
      <c r="A131" s="57">
        <v>43281</v>
      </c>
      <c r="B131" s="26">
        <v>253172.2</v>
      </c>
      <c r="C131" s="26">
        <v>792714.2000000003</v>
      </c>
      <c r="D131" s="26">
        <v>383033.5</v>
      </c>
      <c r="E131" s="27">
        <v>158470.30000000002</v>
      </c>
      <c r="F131" s="26">
        <v>62320.999999999993</v>
      </c>
      <c r="G131" s="28">
        <f t="shared" si="9"/>
        <v>1649711.2000000004</v>
      </c>
      <c r="H131" s="26">
        <v>11457.5</v>
      </c>
      <c r="I131" s="26">
        <v>22830.3</v>
      </c>
      <c r="J131" s="26">
        <v>541711</v>
      </c>
      <c r="K131" s="26">
        <v>78569.400000000009</v>
      </c>
      <c r="L131" s="28">
        <v>-81068.966666666674</v>
      </c>
      <c r="M131" s="28">
        <v>-171994.6666666666</v>
      </c>
      <c r="N131" s="28">
        <f t="shared" si="8"/>
        <v>401504.56666666677</v>
      </c>
      <c r="O131" s="28">
        <f t="shared" si="7"/>
        <v>2051215.7666666671</v>
      </c>
    </row>
    <row r="132" spans="1:15" s="2" customFormat="1">
      <c r="A132" s="57">
        <v>43312</v>
      </c>
      <c r="B132" s="26">
        <v>282383.60000000003</v>
      </c>
      <c r="C132" s="26">
        <v>798303.60000000009</v>
      </c>
      <c r="D132" s="26">
        <v>382070.9</v>
      </c>
      <c r="E132" s="27">
        <v>157640.1</v>
      </c>
      <c r="F132" s="26">
        <v>63540.399999999994</v>
      </c>
      <c r="G132" s="28">
        <f t="shared" si="9"/>
        <v>1683938.6</v>
      </c>
      <c r="H132" s="26">
        <v>11429.7</v>
      </c>
      <c r="I132" s="26">
        <v>18656.7</v>
      </c>
      <c r="J132" s="26">
        <v>547630</v>
      </c>
      <c r="K132" s="26">
        <v>88231.4</v>
      </c>
      <c r="L132" s="28">
        <v>-60156.499999999985</v>
      </c>
      <c r="M132" s="28">
        <v>-173349.20000000007</v>
      </c>
      <c r="N132" s="28">
        <f t="shared" si="8"/>
        <v>432442.1</v>
      </c>
      <c r="O132" s="28">
        <f t="shared" si="7"/>
        <v>2116380.7000000002</v>
      </c>
    </row>
    <row r="133" spans="1:15" s="2" customFormat="1">
      <c r="A133" s="57">
        <v>43343</v>
      </c>
      <c r="B133" s="26">
        <v>276458.66666666663</v>
      </c>
      <c r="C133" s="26">
        <v>807389.2666666666</v>
      </c>
      <c r="D133" s="26">
        <v>392490.96666666667</v>
      </c>
      <c r="E133" s="27">
        <v>175661.30000000002</v>
      </c>
      <c r="F133" s="26">
        <v>64734.899999999994</v>
      </c>
      <c r="G133" s="28">
        <f t="shared" si="9"/>
        <v>1716735.0999999999</v>
      </c>
      <c r="H133" s="26">
        <v>11650</v>
      </c>
      <c r="I133" s="26">
        <v>19369.3</v>
      </c>
      <c r="J133" s="26">
        <v>555017.44999999995</v>
      </c>
      <c r="K133" s="26">
        <v>88231.4</v>
      </c>
      <c r="L133" s="28">
        <v>-37063.983333333381</v>
      </c>
      <c r="M133" s="28">
        <v>-178114.46666666667</v>
      </c>
      <c r="N133" s="28">
        <f t="shared" si="8"/>
        <v>459089.69999999995</v>
      </c>
      <c r="O133" s="28">
        <f t="shared" si="7"/>
        <v>2175824.7999999998</v>
      </c>
    </row>
    <row r="134" spans="1:15" s="2" customFormat="1">
      <c r="A134" s="57">
        <v>43373</v>
      </c>
      <c r="B134" s="26">
        <v>275661.33333333331</v>
      </c>
      <c r="C134" s="26">
        <v>848818.93333333335</v>
      </c>
      <c r="D134" s="26">
        <v>393580.53333333333</v>
      </c>
      <c r="E134" s="27">
        <v>178725.8</v>
      </c>
      <c r="F134" s="26">
        <v>65444.499999999993</v>
      </c>
      <c r="G134" s="28">
        <f t="shared" si="9"/>
        <v>1762231.0999999999</v>
      </c>
      <c r="H134" s="26">
        <v>11810.1</v>
      </c>
      <c r="I134" s="26">
        <v>21627.200000000001</v>
      </c>
      <c r="J134" s="26">
        <v>565237.30000000005</v>
      </c>
      <c r="K134" s="26">
        <v>88231.4</v>
      </c>
      <c r="L134" s="28">
        <v>-54550.266666666634</v>
      </c>
      <c r="M134" s="28">
        <v>-196125.43333333335</v>
      </c>
      <c r="N134" s="28">
        <f t="shared" si="8"/>
        <v>436230.30000000016</v>
      </c>
      <c r="O134" s="28">
        <f t="shared" si="7"/>
        <v>2198461.4</v>
      </c>
    </row>
    <row r="135" spans="1:15" s="2" customFormat="1">
      <c r="A135" s="57">
        <v>43404</v>
      </c>
      <c r="B135" s="26">
        <v>265561.60000000009</v>
      </c>
      <c r="C135" s="26">
        <v>836454.60000000009</v>
      </c>
      <c r="D135" s="26">
        <v>409943.79999999993</v>
      </c>
      <c r="E135" s="27">
        <v>176854.19999999998</v>
      </c>
      <c r="F135" s="26">
        <v>67621.599999999977</v>
      </c>
      <c r="G135" s="28">
        <f t="shared" si="9"/>
        <v>1756435.7999999998</v>
      </c>
      <c r="H135" s="26">
        <v>12156.8</v>
      </c>
      <c r="I135" s="26">
        <v>26368.5</v>
      </c>
      <c r="J135" s="26">
        <v>580074.59999999986</v>
      </c>
      <c r="K135" s="26">
        <v>94145.199999999983</v>
      </c>
      <c r="L135" s="28">
        <v>-57110.900000000009</v>
      </c>
      <c r="M135" s="28">
        <v>-190449.29999999996</v>
      </c>
      <c r="N135" s="28">
        <f>SUM(H135:M135)</f>
        <v>465184.89999999991</v>
      </c>
      <c r="O135" s="28">
        <f>N135+G135</f>
        <v>2221620.6999999997</v>
      </c>
    </row>
    <row r="136" spans="1:15" s="2" customFormat="1">
      <c r="A136" s="57">
        <v>43434</v>
      </c>
      <c r="B136" s="26">
        <v>268511.96666666667</v>
      </c>
      <c r="C136" s="26">
        <v>886178.8</v>
      </c>
      <c r="D136" s="26">
        <v>414604.23333333334</v>
      </c>
      <c r="E136" s="27">
        <v>169361.69999999995</v>
      </c>
      <c r="F136" s="26">
        <v>68117.7</v>
      </c>
      <c r="G136" s="28">
        <f t="shared" si="9"/>
        <v>1806774.4</v>
      </c>
      <c r="H136" s="26">
        <v>12295.699999999999</v>
      </c>
      <c r="I136" s="26">
        <v>20661.5</v>
      </c>
      <c r="J136" s="26">
        <v>592408.5</v>
      </c>
      <c r="K136" s="26">
        <v>94145.199999999983</v>
      </c>
      <c r="L136" s="28">
        <v>-45408.333333333394</v>
      </c>
      <c r="M136" s="28">
        <v>-181357.4333333332</v>
      </c>
      <c r="N136" s="28">
        <f>SUM(H136:M136)</f>
        <v>492745.1333333333</v>
      </c>
      <c r="O136" s="28">
        <f>N136+G136</f>
        <v>2299519.5333333332</v>
      </c>
    </row>
    <row r="137" spans="1:15" s="2" customFormat="1">
      <c r="A137" s="57">
        <v>43465</v>
      </c>
      <c r="B137" s="26">
        <v>270062.33333333337</v>
      </c>
      <c r="C137" s="26">
        <v>899851.99999999977</v>
      </c>
      <c r="D137" s="26">
        <v>412892.66666666663</v>
      </c>
      <c r="E137" s="27">
        <v>173770.60000000003</v>
      </c>
      <c r="F137" s="26">
        <v>69354.999999999985</v>
      </c>
      <c r="G137" s="28">
        <f t="shared" si="9"/>
        <v>1825932.5999999996</v>
      </c>
      <c r="H137" s="26">
        <v>12469</v>
      </c>
      <c r="I137" s="26">
        <v>22562.9</v>
      </c>
      <c r="J137" s="26">
        <v>604724.60000000009</v>
      </c>
      <c r="K137" s="26">
        <v>94145.199999999983</v>
      </c>
      <c r="L137" s="28">
        <v>-31416.566666666527</v>
      </c>
      <c r="M137" s="28">
        <v>-165894.86666666673</v>
      </c>
      <c r="N137" s="28">
        <f>SUM(H137:M137)</f>
        <v>536590.26666666684</v>
      </c>
      <c r="O137" s="28">
        <f>N137+G137</f>
        <v>2362522.8666666662</v>
      </c>
    </row>
    <row r="138" spans="1:15" s="2" customFormat="1">
      <c r="A138" s="57">
        <v>43466</v>
      </c>
      <c r="B138" s="26">
        <v>271169.43333333329</v>
      </c>
      <c r="C138" s="26">
        <v>963575.86666666681</v>
      </c>
      <c r="D138" s="26">
        <v>424822.03333333333</v>
      </c>
      <c r="E138" s="27">
        <v>172774.39999999999</v>
      </c>
      <c r="F138" s="26">
        <v>74314.8</v>
      </c>
      <c r="G138" s="28">
        <f t="shared" ref="G138:G155" si="10">SUM(B138:F138)</f>
        <v>1906656.5333333334</v>
      </c>
      <c r="H138" s="26">
        <v>11867.7</v>
      </c>
      <c r="I138" s="26">
        <v>30458</v>
      </c>
      <c r="J138" s="26">
        <v>610700.30000000005</v>
      </c>
      <c r="K138" s="26">
        <v>93615</v>
      </c>
      <c r="L138" s="28">
        <v>-117391.29999999996</v>
      </c>
      <c r="M138" s="28">
        <v>-226065.1</v>
      </c>
      <c r="N138" s="28">
        <f t="shared" ref="N138:N155" si="11">SUM(H138:M138)</f>
        <v>403184.60000000009</v>
      </c>
      <c r="O138" s="28">
        <f t="shared" ref="O138:O182" si="12">N138+G138</f>
        <v>2309841.1333333338</v>
      </c>
    </row>
    <row r="139" spans="1:15" s="2" customFormat="1">
      <c r="A139" s="57">
        <v>43524</v>
      </c>
      <c r="B139" s="26">
        <v>274605.46666666673</v>
      </c>
      <c r="C139" s="26">
        <v>977272.03333333309</v>
      </c>
      <c r="D139" s="26">
        <v>418300.56666666659</v>
      </c>
      <c r="E139" s="27">
        <v>182328.2</v>
      </c>
      <c r="F139" s="26">
        <v>76813.2</v>
      </c>
      <c r="G139" s="28">
        <f t="shared" si="10"/>
        <v>1929319.4666666663</v>
      </c>
      <c r="H139" s="26">
        <v>11966.2</v>
      </c>
      <c r="I139" s="26">
        <v>31685.3</v>
      </c>
      <c r="J139" s="26">
        <v>623257.1</v>
      </c>
      <c r="K139" s="26">
        <v>93615</v>
      </c>
      <c r="L139" s="28">
        <v>-59311.499999999847</v>
      </c>
      <c r="M139" s="28">
        <v>-224742.6</v>
      </c>
      <c r="N139" s="28">
        <f t="shared" si="11"/>
        <v>476469.50000000012</v>
      </c>
      <c r="O139" s="28">
        <f t="shared" si="12"/>
        <v>2405788.9666666663</v>
      </c>
    </row>
    <row r="140" spans="1:15" s="2" customFormat="1">
      <c r="A140" s="57">
        <v>43555</v>
      </c>
      <c r="B140" s="26">
        <v>275528.7</v>
      </c>
      <c r="C140" s="26">
        <v>1001634.5999999999</v>
      </c>
      <c r="D140" s="26">
        <v>422729.69999999984</v>
      </c>
      <c r="E140" s="27">
        <v>185301.5</v>
      </c>
      <c r="F140" s="26">
        <v>79767.400000000009</v>
      </c>
      <c r="G140" s="28">
        <f t="shared" si="10"/>
        <v>1964961.8999999994</v>
      </c>
      <c r="H140" s="26">
        <v>13078.600000000002</v>
      </c>
      <c r="I140" s="26">
        <v>34809.4</v>
      </c>
      <c r="J140" s="26">
        <v>615426.1</v>
      </c>
      <c r="K140" s="26">
        <v>98046.5</v>
      </c>
      <c r="L140" s="28">
        <v>-82655.900000000183</v>
      </c>
      <c r="M140" s="28">
        <v>-236797.9</v>
      </c>
      <c r="N140" s="28">
        <f t="shared" si="11"/>
        <v>441906.79999999981</v>
      </c>
      <c r="O140" s="28">
        <f t="shared" si="12"/>
        <v>2406868.6999999993</v>
      </c>
    </row>
    <row r="141" spans="1:15" s="2" customFormat="1">
      <c r="A141" s="57">
        <v>43585</v>
      </c>
      <c r="B141" s="26">
        <v>284705.66666666669</v>
      </c>
      <c r="C141" s="26">
        <v>1012509.5333333332</v>
      </c>
      <c r="D141" s="26">
        <v>427716.46666666667</v>
      </c>
      <c r="E141" s="27">
        <v>176055.30000000002</v>
      </c>
      <c r="F141" s="26">
        <v>79084</v>
      </c>
      <c r="G141" s="28">
        <f t="shared" si="10"/>
        <v>1980070.9666666666</v>
      </c>
      <c r="H141" s="26">
        <v>13243.5</v>
      </c>
      <c r="I141" s="26">
        <v>38792.1</v>
      </c>
      <c r="J141" s="26">
        <v>608440</v>
      </c>
      <c r="K141" s="26">
        <v>98046.5</v>
      </c>
      <c r="L141" s="28">
        <v>-64136.566666666651</v>
      </c>
      <c r="M141" s="28">
        <v>-239646.7666666666</v>
      </c>
      <c r="N141" s="28">
        <f t="shared" si="11"/>
        <v>454738.76666666672</v>
      </c>
      <c r="O141" s="28">
        <f t="shared" si="12"/>
        <v>2434809.7333333334</v>
      </c>
    </row>
    <row r="142" spans="1:15" s="2" customFormat="1">
      <c r="A142" s="57">
        <v>43616</v>
      </c>
      <c r="B142" s="26">
        <v>297975.03333333338</v>
      </c>
      <c r="C142" s="26">
        <v>1047055.766666667</v>
      </c>
      <c r="D142" s="26">
        <v>439645.1333333333</v>
      </c>
      <c r="E142" s="27">
        <v>169993.60000000001</v>
      </c>
      <c r="F142" s="26">
        <v>80864.200000000012</v>
      </c>
      <c r="G142" s="28">
        <f t="shared" si="10"/>
        <v>2035533.7333333336</v>
      </c>
      <c r="H142" s="26">
        <v>13378.7</v>
      </c>
      <c r="I142" s="26">
        <v>35398.6</v>
      </c>
      <c r="J142" s="26">
        <v>626258.20000000007</v>
      </c>
      <c r="K142" s="26">
        <v>98046.5</v>
      </c>
      <c r="L142" s="28">
        <v>-65130.933333333276</v>
      </c>
      <c r="M142" s="28">
        <v>-253834.53333333338</v>
      </c>
      <c r="N142" s="28">
        <f t="shared" si="11"/>
        <v>454116.5333333335</v>
      </c>
      <c r="O142" s="28">
        <f t="shared" si="12"/>
        <v>2489650.2666666671</v>
      </c>
    </row>
    <row r="143" spans="1:15" s="2" customFormat="1">
      <c r="A143" s="57">
        <v>43646</v>
      </c>
      <c r="B143" s="26">
        <v>318283.69999999995</v>
      </c>
      <c r="C143" s="26">
        <v>1074559.1000000001</v>
      </c>
      <c r="D143" s="26">
        <v>458268.4</v>
      </c>
      <c r="E143" s="27">
        <v>178256.6</v>
      </c>
      <c r="F143" s="26">
        <v>83690.899999999994</v>
      </c>
      <c r="G143" s="28">
        <f t="shared" si="10"/>
        <v>2113058.7000000002</v>
      </c>
      <c r="H143" s="26">
        <v>13251.8</v>
      </c>
      <c r="I143" s="26">
        <v>38420.699999999997</v>
      </c>
      <c r="J143" s="26">
        <v>612269.5</v>
      </c>
      <c r="K143" s="26">
        <v>102581.4</v>
      </c>
      <c r="L143" s="28">
        <v>-78067.900000000052</v>
      </c>
      <c r="M143" s="28">
        <v>-230627.10000000003</v>
      </c>
      <c r="N143" s="28">
        <f t="shared" si="11"/>
        <v>457828.39999999997</v>
      </c>
      <c r="O143" s="28">
        <f t="shared" si="12"/>
        <v>2570887.1</v>
      </c>
    </row>
    <row r="144" spans="1:15" s="2" customFormat="1">
      <c r="A144" s="57">
        <v>43677</v>
      </c>
      <c r="B144" s="26">
        <v>316885.56666666671</v>
      </c>
      <c r="C144" s="26">
        <v>1089702.6333333333</v>
      </c>
      <c r="D144" s="26">
        <v>453810.73333333334</v>
      </c>
      <c r="E144" s="27">
        <v>181531.50000000003</v>
      </c>
      <c r="F144" s="26">
        <v>85965.300000000017</v>
      </c>
      <c r="G144" s="28">
        <f t="shared" si="10"/>
        <v>2127895.7333333334</v>
      </c>
      <c r="H144" s="26">
        <v>13352.6</v>
      </c>
      <c r="I144" s="26">
        <v>34291.800000000003</v>
      </c>
      <c r="J144" s="26">
        <v>622731.69999999995</v>
      </c>
      <c r="K144" s="26">
        <v>102581.4</v>
      </c>
      <c r="L144" s="28">
        <v>-88063.899999999965</v>
      </c>
      <c r="M144" s="28">
        <v>-241764.2</v>
      </c>
      <c r="N144" s="28">
        <f t="shared" si="11"/>
        <v>443129.40000000008</v>
      </c>
      <c r="O144" s="28">
        <f t="shared" si="12"/>
        <v>2571025.1333333333</v>
      </c>
    </row>
    <row r="145" spans="1:15" s="2" customFormat="1">
      <c r="A145" s="57">
        <v>43708</v>
      </c>
      <c r="B145" s="26">
        <v>328635.53333333338</v>
      </c>
      <c r="C145" s="26">
        <v>1108837.1666666667</v>
      </c>
      <c r="D145" s="26">
        <v>459121.96666666667</v>
      </c>
      <c r="E145" s="27">
        <v>179118.5</v>
      </c>
      <c r="F145" s="26">
        <v>88610.4</v>
      </c>
      <c r="G145" s="28">
        <f t="shared" si="10"/>
        <v>2164323.5666666669</v>
      </c>
      <c r="H145" s="26">
        <v>13400.3</v>
      </c>
      <c r="I145" s="26">
        <v>29774.400000000001</v>
      </c>
      <c r="J145" s="26">
        <v>644729.79999999993</v>
      </c>
      <c r="K145" s="26">
        <v>102581.4</v>
      </c>
      <c r="L145" s="28">
        <v>-88709.20000000007</v>
      </c>
      <c r="M145" s="28">
        <v>-277435.59999999998</v>
      </c>
      <c r="N145" s="28">
        <f t="shared" si="11"/>
        <v>424341.09999999986</v>
      </c>
      <c r="O145" s="28">
        <f t="shared" si="12"/>
        <v>2588664.666666667</v>
      </c>
    </row>
    <row r="146" spans="1:15" s="2" customFormat="1">
      <c r="A146" s="57">
        <v>43738</v>
      </c>
      <c r="B146" s="26">
        <v>317452.39999999997</v>
      </c>
      <c r="C146" s="26">
        <v>1118003.3</v>
      </c>
      <c r="D146" s="26">
        <v>454128</v>
      </c>
      <c r="E146" s="27">
        <v>185112.4</v>
      </c>
      <c r="F146" s="26">
        <v>89039.7</v>
      </c>
      <c r="G146" s="28">
        <f t="shared" si="10"/>
        <v>2163735.7999999998</v>
      </c>
      <c r="H146" s="26">
        <v>13461.2</v>
      </c>
      <c r="I146" s="26">
        <v>29487.1</v>
      </c>
      <c r="J146" s="26">
        <v>662468</v>
      </c>
      <c r="K146" s="26">
        <v>106929.3</v>
      </c>
      <c r="L146" s="28">
        <v>-81960.09999999986</v>
      </c>
      <c r="M146" s="28">
        <v>-242941.30000000005</v>
      </c>
      <c r="N146" s="28">
        <f t="shared" si="11"/>
        <v>487444.20000000019</v>
      </c>
      <c r="O146" s="28">
        <f t="shared" si="12"/>
        <v>2651180</v>
      </c>
    </row>
    <row r="147" spans="1:15" s="2" customFormat="1">
      <c r="A147" s="57">
        <v>43769</v>
      </c>
      <c r="B147" s="26">
        <v>326257.43333333329</v>
      </c>
      <c r="C147" s="26">
        <v>1092664.4000000001</v>
      </c>
      <c r="D147" s="26">
        <v>476498.96666666673</v>
      </c>
      <c r="E147" s="27">
        <v>182921.19999999995</v>
      </c>
      <c r="F147" s="26">
        <v>93403.799999999988</v>
      </c>
      <c r="G147" s="28">
        <f t="shared" si="10"/>
        <v>2171745.8000000003</v>
      </c>
      <c r="H147" s="26">
        <v>13323</v>
      </c>
      <c r="I147" s="26">
        <v>25297.100000000002</v>
      </c>
      <c r="J147" s="26">
        <v>661802.00000000012</v>
      </c>
      <c r="K147" s="26">
        <v>106929.3</v>
      </c>
      <c r="L147" s="28">
        <v>-62959.633333333288</v>
      </c>
      <c r="M147" s="28">
        <v>-241676.2</v>
      </c>
      <c r="N147" s="28">
        <f t="shared" si="11"/>
        <v>502715.56666666683</v>
      </c>
      <c r="O147" s="28">
        <f t="shared" si="12"/>
        <v>2674461.3666666672</v>
      </c>
    </row>
    <row r="148" spans="1:15" s="2" customFormat="1">
      <c r="A148" s="57">
        <v>43799</v>
      </c>
      <c r="B148" s="26">
        <v>331839.56666666659</v>
      </c>
      <c r="C148" s="26">
        <v>1028720.2</v>
      </c>
      <c r="D148" s="26">
        <v>559743.83333333326</v>
      </c>
      <c r="E148" s="27">
        <v>190110.90000000002</v>
      </c>
      <c r="F148" s="26">
        <v>96020.799999999988</v>
      </c>
      <c r="G148" s="28">
        <f t="shared" si="10"/>
        <v>2206435.2999999998</v>
      </c>
      <c r="H148" s="26">
        <v>13367.9</v>
      </c>
      <c r="I148" s="26">
        <v>25043.600000000002</v>
      </c>
      <c r="J148" s="26">
        <v>670368.9</v>
      </c>
      <c r="K148" s="26">
        <v>106929.3</v>
      </c>
      <c r="L148" s="28">
        <v>-42754.76666666675</v>
      </c>
      <c r="M148" s="28">
        <v>-254211.8</v>
      </c>
      <c r="N148" s="28">
        <f t="shared" si="11"/>
        <v>518743.13333333336</v>
      </c>
      <c r="O148" s="28">
        <f t="shared" si="12"/>
        <v>2725178.4333333331</v>
      </c>
    </row>
    <row r="149" spans="1:15" s="2" customFormat="1">
      <c r="A149" s="57">
        <v>43830</v>
      </c>
      <c r="B149" s="26">
        <v>359838.80000000005</v>
      </c>
      <c r="C149" s="26">
        <v>1070136.7999999998</v>
      </c>
      <c r="D149" s="26">
        <v>584633</v>
      </c>
      <c r="E149" s="27">
        <v>188088.8</v>
      </c>
      <c r="F149" s="26">
        <v>99059</v>
      </c>
      <c r="G149" s="28">
        <f t="shared" si="10"/>
        <v>2301756.4</v>
      </c>
      <c r="H149" s="26">
        <v>13357.7</v>
      </c>
      <c r="I149" s="26">
        <v>59688.299999999996</v>
      </c>
      <c r="J149" s="26">
        <v>694562.6</v>
      </c>
      <c r="K149" s="26">
        <v>109217.60000000001</v>
      </c>
      <c r="L149" s="28">
        <v>-66658.8</v>
      </c>
      <c r="M149" s="28">
        <v>-283513.40000000002</v>
      </c>
      <c r="N149" s="28">
        <f t="shared" si="11"/>
        <v>526653.99999999988</v>
      </c>
      <c r="O149" s="28">
        <f t="shared" si="12"/>
        <v>2828410.4</v>
      </c>
    </row>
    <row r="150" spans="1:15" s="2" customFormat="1">
      <c r="A150" s="57">
        <v>43861</v>
      </c>
      <c r="B150" s="26">
        <v>338378.16666666669</v>
      </c>
      <c r="C150" s="26">
        <v>1074330.9333333336</v>
      </c>
      <c r="D150" s="26">
        <v>593099.96666666656</v>
      </c>
      <c r="E150" s="27">
        <v>190696.59999999998</v>
      </c>
      <c r="F150" s="26">
        <f>100165.6+181.9</f>
        <v>100347.5</v>
      </c>
      <c r="G150" s="28">
        <f t="shared" si="10"/>
        <v>2296853.166666667</v>
      </c>
      <c r="H150" s="26">
        <v>13405.9</v>
      </c>
      <c r="I150" s="26">
        <v>57649.5</v>
      </c>
      <c r="J150" s="26">
        <v>704490.56666666665</v>
      </c>
      <c r="K150" s="26">
        <v>109217.60000000001</v>
      </c>
      <c r="L150" s="28">
        <v>-71293.933333333262</v>
      </c>
      <c r="M150" s="28">
        <v>-283104.73333333328</v>
      </c>
      <c r="N150" s="28">
        <f t="shared" si="11"/>
        <v>530364.90000000014</v>
      </c>
      <c r="O150" s="28">
        <f t="shared" si="12"/>
        <v>2827218.0666666673</v>
      </c>
    </row>
    <row r="151" spans="1:15" s="2" customFormat="1">
      <c r="A151" s="57">
        <v>43890</v>
      </c>
      <c r="B151" s="26">
        <v>334633.03333333327</v>
      </c>
      <c r="C151" s="26">
        <v>1095272.9666666666</v>
      </c>
      <c r="D151" s="26">
        <v>608829.43333333347</v>
      </c>
      <c r="E151" s="27">
        <v>192620.2</v>
      </c>
      <c r="F151" s="26">
        <f>102328.5+181.9</f>
        <v>102510.39999999999</v>
      </c>
      <c r="G151" s="28">
        <f t="shared" si="10"/>
        <v>2333866.0333333332</v>
      </c>
      <c r="H151" s="26">
        <v>13474.2</v>
      </c>
      <c r="I151" s="26">
        <v>58145.599999999999</v>
      </c>
      <c r="J151" s="26">
        <v>718010.43333333323</v>
      </c>
      <c r="K151" s="26">
        <v>109217.60000000001</v>
      </c>
      <c r="L151" s="28">
        <v>-48046.566666666695</v>
      </c>
      <c r="M151" s="28">
        <v>-297934.66666666669</v>
      </c>
      <c r="N151" s="28">
        <f t="shared" si="11"/>
        <v>552866.59999999986</v>
      </c>
      <c r="O151" s="28">
        <f t="shared" si="12"/>
        <v>2886732.6333333328</v>
      </c>
    </row>
    <row r="152" spans="1:15" s="2" customFormat="1">
      <c r="A152" s="57">
        <v>43921</v>
      </c>
      <c r="B152" s="26">
        <v>330623.39999999997</v>
      </c>
      <c r="C152" s="26">
        <v>1082118.7</v>
      </c>
      <c r="D152" s="26">
        <v>609190.6</v>
      </c>
      <c r="E152" s="27">
        <v>190685.09999999998</v>
      </c>
      <c r="F152" s="26">
        <f>107546+182.3</f>
        <v>107728.3</v>
      </c>
      <c r="G152" s="28">
        <f t="shared" si="10"/>
        <v>2320346.0999999996</v>
      </c>
      <c r="H152" s="26">
        <v>13526.1</v>
      </c>
      <c r="I152" s="26">
        <v>58131.8</v>
      </c>
      <c r="J152" s="26">
        <v>700933.30000000016</v>
      </c>
      <c r="K152" s="26">
        <v>114467.79999999999</v>
      </c>
      <c r="L152" s="28">
        <v>-57739.000000000116</v>
      </c>
      <c r="M152" s="28">
        <v>-304314.3</v>
      </c>
      <c r="N152" s="28">
        <f t="shared" si="11"/>
        <v>525005.70000000019</v>
      </c>
      <c r="O152" s="28">
        <f t="shared" si="12"/>
        <v>2845351.8</v>
      </c>
    </row>
    <row r="153" spans="1:15" s="2" customFormat="1">
      <c r="A153" s="57">
        <v>43951</v>
      </c>
      <c r="B153" s="26">
        <v>341533.06666666671</v>
      </c>
      <c r="C153" s="26">
        <v>1098907.7</v>
      </c>
      <c r="D153" s="26">
        <v>622889.10000000009</v>
      </c>
      <c r="E153" s="27">
        <v>193470.40000000002</v>
      </c>
      <c r="F153" s="26">
        <f>108310.5+182.3</f>
        <v>108492.8</v>
      </c>
      <c r="G153" s="28">
        <f t="shared" si="10"/>
        <v>2365293.0666666664</v>
      </c>
      <c r="H153" s="26">
        <v>15647.4</v>
      </c>
      <c r="I153" s="26">
        <v>53990.1</v>
      </c>
      <c r="J153" s="26">
        <v>714870.83333333326</v>
      </c>
      <c r="K153" s="26">
        <v>114467.79999999999</v>
      </c>
      <c r="L153" s="28">
        <v>-69812.866666666712</v>
      </c>
      <c r="M153" s="28">
        <v>-320506.83333333337</v>
      </c>
      <c r="N153" s="28">
        <f t="shared" si="11"/>
        <v>508656.43333333323</v>
      </c>
      <c r="O153" s="28">
        <f t="shared" si="12"/>
        <v>2873949.4999999995</v>
      </c>
    </row>
    <row r="154" spans="1:15" s="2" customFormat="1">
      <c r="A154" s="57">
        <v>43982</v>
      </c>
      <c r="B154" s="26">
        <v>352132.73333333334</v>
      </c>
      <c r="C154" s="26">
        <v>1089509.2000000002</v>
      </c>
      <c r="D154" s="26">
        <v>632402.19999999995</v>
      </c>
      <c r="E154" s="27">
        <v>192666.99999999997</v>
      </c>
      <c r="F154" s="26">
        <f>112196.1+182.3</f>
        <v>112378.40000000001</v>
      </c>
      <c r="G154" s="28">
        <f t="shared" si="10"/>
        <v>2379089.5333333332</v>
      </c>
      <c r="H154" s="26">
        <v>14622.7</v>
      </c>
      <c r="I154" s="26">
        <v>50618.299999999996</v>
      </c>
      <c r="J154" s="26">
        <v>727048.3666666667</v>
      </c>
      <c r="K154" s="26">
        <v>114467.79999999999</v>
      </c>
      <c r="L154" s="28">
        <v>-61397.133333333302</v>
      </c>
      <c r="M154" s="28">
        <v>-333040.16666666657</v>
      </c>
      <c r="N154" s="28">
        <f t="shared" si="11"/>
        <v>512319.86666666687</v>
      </c>
      <c r="O154" s="28">
        <f t="shared" si="12"/>
        <v>2891409.4</v>
      </c>
    </row>
    <row r="155" spans="1:15" s="2" customFormat="1">
      <c r="A155" s="57">
        <v>44012</v>
      </c>
      <c r="B155" s="26">
        <v>377987.4</v>
      </c>
      <c r="C155" s="26">
        <v>1180168.2999999998</v>
      </c>
      <c r="D155" s="26">
        <v>642361.4</v>
      </c>
      <c r="E155" s="27">
        <v>200919</v>
      </c>
      <c r="F155" s="26">
        <f>125705.7+182.3</f>
        <v>125888</v>
      </c>
      <c r="G155" s="28">
        <f t="shared" si="10"/>
        <v>2527324.0999999996</v>
      </c>
      <c r="H155" s="26">
        <v>7581.6</v>
      </c>
      <c r="I155" s="26">
        <v>55808.9</v>
      </c>
      <c r="J155" s="26">
        <v>749871.6</v>
      </c>
      <c r="K155" s="26">
        <v>119272.2</v>
      </c>
      <c r="L155" s="28">
        <v>-64272.100000000173</v>
      </c>
      <c r="M155" s="28">
        <v>-385519.6</v>
      </c>
      <c r="N155" s="28">
        <f t="shared" si="11"/>
        <v>482742.59999999974</v>
      </c>
      <c r="O155" s="28">
        <f t="shared" si="12"/>
        <v>3010066.6999999993</v>
      </c>
    </row>
    <row r="156" spans="1:15" s="2" customFormat="1">
      <c r="A156" s="57">
        <v>44043</v>
      </c>
      <c r="B156" s="26">
        <v>389396.7</v>
      </c>
      <c r="C156" s="26">
        <v>1147270.2</v>
      </c>
      <c r="D156" s="26">
        <v>696045.6333333333</v>
      </c>
      <c r="E156" s="27">
        <v>213647.3</v>
      </c>
      <c r="F156" s="26">
        <f>131523.9+182.3</f>
        <v>131706.19999999998</v>
      </c>
      <c r="G156" s="28">
        <f t="shared" ref="G156:G170" si="13">SUM(B156:F156)</f>
        <v>2578066.0333333332</v>
      </c>
      <c r="H156" s="26">
        <v>9541.7000000000007</v>
      </c>
      <c r="I156" s="26">
        <v>56940</v>
      </c>
      <c r="J156" s="26">
        <v>765736.96666666667</v>
      </c>
      <c r="K156" s="26">
        <v>119272.2</v>
      </c>
      <c r="L156" s="28">
        <v>-60495.633333333346</v>
      </c>
      <c r="M156" s="28">
        <v>-385063.76666666666</v>
      </c>
      <c r="N156" s="28">
        <f t="shared" ref="N156:N163" si="14">SUM(H156:M156)</f>
        <v>505931.46666666662</v>
      </c>
      <c r="O156" s="28">
        <f t="shared" si="12"/>
        <v>3083997.5</v>
      </c>
    </row>
    <row r="157" spans="1:15" s="2" customFormat="1">
      <c r="A157" s="57">
        <v>44074</v>
      </c>
      <c r="B157" s="26">
        <v>398822.6</v>
      </c>
      <c r="C157" s="26">
        <v>1182206.3</v>
      </c>
      <c r="D157" s="26">
        <v>705981.7666666666</v>
      </c>
      <c r="E157" s="27">
        <v>211594.8</v>
      </c>
      <c r="F157" s="26">
        <f>125496.2+182.3</f>
        <v>125678.5</v>
      </c>
      <c r="G157" s="28">
        <f t="shared" si="13"/>
        <v>2624283.9666666663</v>
      </c>
      <c r="H157" s="26">
        <v>16621.8</v>
      </c>
      <c r="I157" s="26">
        <v>60606</v>
      </c>
      <c r="J157" s="26">
        <v>745506.33333333337</v>
      </c>
      <c r="K157" s="26">
        <v>119272.2</v>
      </c>
      <c r="L157" s="28">
        <v>-53085.466666666856</v>
      </c>
      <c r="M157" s="28">
        <v>-370054.13333333324</v>
      </c>
      <c r="N157" s="28">
        <f t="shared" si="14"/>
        <v>518866.73333333322</v>
      </c>
      <c r="O157" s="28">
        <f t="shared" si="12"/>
        <v>3143150.6999999997</v>
      </c>
    </row>
    <row r="158" spans="1:15" s="2" customFormat="1">
      <c r="A158" s="57">
        <v>44104</v>
      </c>
      <c r="B158" s="26">
        <v>389340.1999999999</v>
      </c>
      <c r="C158" s="26">
        <v>1295715.9000000001</v>
      </c>
      <c r="D158" s="26">
        <v>678223.39999999991</v>
      </c>
      <c r="E158" s="27">
        <v>214148.39999999997</v>
      </c>
      <c r="F158" s="26">
        <f>138334.5+181.5</f>
        <v>138516</v>
      </c>
      <c r="G158" s="28">
        <f t="shared" si="13"/>
        <v>2715943.9</v>
      </c>
      <c r="H158" s="26">
        <v>9519.3000000000011</v>
      </c>
      <c r="I158" s="26">
        <v>65861.7</v>
      </c>
      <c r="J158" s="26">
        <v>779145.20000000007</v>
      </c>
      <c r="K158" s="26">
        <v>123993.09999999999</v>
      </c>
      <c r="L158" s="28">
        <v>-53578.699999999953</v>
      </c>
      <c r="M158" s="28">
        <v>-252699.00000000012</v>
      </c>
      <c r="N158" s="28">
        <f t="shared" si="14"/>
        <v>672241.6</v>
      </c>
      <c r="O158" s="28">
        <f t="shared" si="12"/>
        <v>3388185.5</v>
      </c>
    </row>
    <row r="159" spans="1:15" s="2" customFormat="1">
      <c r="A159" s="57">
        <v>44135</v>
      </c>
      <c r="B159" s="26">
        <v>387169.06666666665</v>
      </c>
      <c r="C159" s="26">
        <v>1288080.2</v>
      </c>
      <c r="D159" s="26">
        <v>694771.8666666667</v>
      </c>
      <c r="E159" s="27">
        <v>212334.90000000002</v>
      </c>
      <c r="F159" s="26">
        <f>133549.8+181.5</f>
        <v>133731.29999999999</v>
      </c>
      <c r="G159" s="28">
        <f t="shared" si="13"/>
        <v>2716087.333333333</v>
      </c>
      <c r="H159" s="26">
        <v>16591.599999999999</v>
      </c>
      <c r="I159" s="26">
        <v>61430.1</v>
      </c>
      <c r="J159" s="26">
        <v>792078.03333333344</v>
      </c>
      <c r="K159" s="26">
        <v>123993.09999999999</v>
      </c>
      <c r="L159" s="28">
        <v>-62855.999999999898</v>
      </c>
      <c r="M159" s="28">
        <v>-268979.687301</v>
      </c>
      <c r="N159" s="28">
        <f t="shared" si="14"/>
        <v>662257.14603233349</v>
      </c>
      <c r="O159" s="28">
        <f t="shared" si="12"/>
        <v>3378344.4793656664</v>
      </c>
    </row>
    <row r="160" spans="1:15" s="2" customFormat="1">
      <c r="A160" s="57">
        <v>44165</v>
      </c>
      <c r="B160" s="26">
        <v>392006.93333333335</v>
      </c>
      <c r="C160" s="26">
        <v>1340015.3999999999</v>
      </c>
      <c r="D160" s="26">
        <v>711189.33333333326</v>
      </c>
      <c r="E160" s="27">
        <v>217309.30000000002</v>
      </c>
      <c r="F160" s="26">
        <f>132510.5+181.5</f>
        <v>132692</v>
      </c>
      <c r="G160" s="28">
        <f t="shared" si="13"/>
        <v>2793212.9666666663</v>
      </c>
      <c r="H160" s="26">
        <v>20946.5</v>
      </c>
      <c r="I160" s="26">
        <v>58995.199999999997</v>
      </c>
      <c r="J160" s="26">
        <v>803403.2666666666</v>
      </c>
      <c r="K160" s="26">
        <v>123993.09999999999</v>
      </c>
      <c r="L160" s="28">
        <v>-91363.200000000012</v>
      </c>
      <c r="M160" s="28">
        <v>-294377.344293</v>
      </c>
      <c r="N160" s="28">
        <f t="shared" si="14"/>
        <v>621597.52237366652</v>
      </c>
      <c r="O160" s="28">
        <f t="shared" si="12"/>
        <v>3414810.4890403328</v>
      </c>
    </row>
    <row r="161" spans="1:15" s="2" customFormat="1">
      <c r="A161" s="57">
        <v>44196</v>
      </c>
      <c r="B161" s="26">
        <v>433211.8</v>
      </c>
      <c r="C161" s="26">
        <v>1369841.3000000003</v>
      </c>
      <c r="D161" s="26">
        <v>723397.99999999988</v>
      </c>
      <c r="E161" s="27">
        <v>207328.49999999997</v>
      </c>
      <c r="F161" s="26">
        <f>141279.8+179.1</f>
        <v>141458.9</v>
      </c>
      <c r="G161" s="28">
        <f t="shared" si="13"/>
        <v>2875238.5</v>
      </c>
      <c r="H161" s="26">
        <v>18100</v>
      </c>
      <c r="I161" s="26">
        <v>63218.3</v>
      </c>
      <c r="J161" s="26">
        <v>793900.2</v>
      </c>
      <c r="K161" s="26">
        <v>124007.9</v>
      </c>
      <c r="L161" s="28">
        <v>-52119.700000000012</v>
      </c>
      <c r="M161" s="28">
        <v>-281606.31651700003</v>
      </c>
      <c r="N161" s="28">
        <f t="shared" si="14"/>
        <v>665500.38348299987</v>
      </c>
      <c r="O161" s="28">
        <f t="shared" si="12"/>
        <v>3540738.8834830001</v>
      </c>
    </row>
    <row r="162" spans="1:15" s="2" customFormat="1">
      <c r="A162" s="57">
        <v>44227</v>
      </c>
      <c r="B162" s="26">
        <v>404908.5</v>
      </c>
      <c r="C162" s="26">
        <v>1418337.1666666665</v>
      </c>
      <c r="D162" s="26">
        <v>727016.46666666679</v>
      </c>
      <c r="E162" s="27">
        <v>221420.39999999997</v>
      </c>
      <c r="F162" s="26">
        <f>141909.1+179.1</f>
        <v>142088.20000000001</v>
      </c>
      <c r="G162" s="28">
        <f t="shared" si="13"/>
        <v>2913770.7333333334</v>
      </c>
      <c r="H162" s="26">
        <v>20956.099999999999</v>
      </c>
      <c r="I162" s="26">
        <v>64791.399999999994</v>
      </c>
      <c r="J162" s="26">
        <v>807369</v>
      </c>
      <c r="K162" s="26">
        <v>124007.9</v>
      </c>
      <c r="L162" s="28">
        <v>-67581.866666666683</v>
      </c>
      <c r="M162" s="28">
        <v>-305422.77774199989</v>
      </c>
      <c r="N162" s="28">
        <f t="shared" si="14"/>
        <v>644119.75559133338</v>
      </c>
      <c r="O162" s="28">
        <f t="shared" si="12"/>
        <v>3557890.4889246668</v>
      </c>
    </row>
    <row r="163" spans="1:15" s="2" customFormat="1">
      <c r="A163" s="57">
        <v>44255</v>
      </c>
      <c r="B163" s="26">
        <v>397409.8</v>
      </c>
      <c r="C163" s="26">
        <v>1440559.6333333333</v>
      </c>
      <c r="D163" s="26">
        <v>750924.83333333337</v>
      </c>
      <c r="E163" s="27">
        <v>223798.89999999997</v>
      </c>
      <c r="F163" s="26">
        <f>144934.8+179.1</f>
        <v>145113.9</v>
      </c>
      <c r="G163" s="28">
        <f t="shared" si="13"/>
        <v>2957807.0666666664</v>
      </c>
      <c r="H163" s="26">
        <v>20954.600000000002</v>
      </c>
      <c r="I163" s="26">
        <v>66010.299999999988</v>
      </c>
      <c r="J163" s="26">
        <v>833012.69999999984</v>
      </c>
      <c r="K163" s="26">
        <v>124007.9</v>
      </c>
      <c r="L163" s="28">
        <v>-70979.833333333299</v>
      </c>
      <c r="M163" s="28">
        <v>-310220.80289300007</v>
      </c>
      <c r="N163" s="28">
        <f t="shared" si="14"/>
        <v>662784.86377366656</v>
      </c>
      <c r="O163" s="28">
        <f t="shared" si="12"/>
        <v>3620591.9304403327</v>
      </c>
    </row>
    <row r="164" spans="1:15" s="2" customFormat="1">
      <c r="A164" s="57">
        <v>44286</v>
      </c>
      <c r="B164" s="26">
        <v>396404.60000000003</v>
      </c>
      <c r="C164" s="26">
        <v>1445542.8999999997</v>
      </c>
      <c r="D164" s="26">
        <v>773663.29999999993</v>
      </c>
      <c r="E164" s="27">
        <v>224018.69999999992</v>
      </c>
      <c r="F164" s="26">
        <f>150731.6+194.5</f>
        <v>150926.1</v>
      </c>
      <c r="G164" s="28">
        <f t="shared" si="13"/>
        <v>2990555.5999999996</v>
      </c>
      <c r="H164" s="26">
        <v>18910</v>
      </c>
      <c r="I164" s="26">
        <v>64851.1</v>
      </c>
      <c r="J164" s="26">
        <v>809523.99999999988</v>
      </c>
      <c r="K164" s="26">
        <v>128540.5</v>
      </c>
      <c r="L164" s="28">
        <v>-40174.400000000081</v>
      </c>
      <c r="M164" s="28">
        <v>-321694.99999999988</v>
      </c>
      <c r="N164" s="28">
        <f t="shared" ref="N164:N173" si="15">SUM(H164:M164)</f>
        <v>659956.19999999984</v>
      </c>
      <c r="O164" s="28">
        <f t="shared" si="12"/>
        <v>3650511.7999999993</v>
      </c>
    </row>
    <row r="165" spans="1:15" s="2" customFormat="1">
      <c r="A165" s="57">
        <v>44316</v>
      </c>
      <c r="B165" s="26">
        <v>407812.5</v>
      </c>
      <c r="C165" s="26">
        <v>1434653.5999999999</v>
      </c>
      <c r="D165" s="26">
        <v>780328.79999999993</v>
      </c>
      <c r="E165" s="27">
        <v>212953.90000000002</v>
      </c>
      <c r="F165" s="26">
        <f>152191.7+194.5</f>
        <v>152386.20000000001</v>
      </c>
      <c r="G165" s="28">
        <f t="shared" si="13"/>
        <v>2988135</v>
      </c>
      <c r="H165" s="26">
        <v>18870.5</v>
      </c>
      <c r="I165" s="26">
        <v>59833.200000000004</v>
      </c>
      <c r="J165" s="26">
        <v>810504.89999999991</v>
      </c>
      <c r="K165" s="26">
        <v>128540.5</v>
      </c>
      <c r="L165" s="28">
        <v>-36465.866666666596</v>
      </c>
      <c r="M165" s="28">
        <v>-328139</v>
      </c>
      <c r="N165" s="28">
        <f t="shared" si="15"/>
        <v>653144.23333333328</v>
      </c>
      <c r="O165" s="28">
        <f t="shared" si="12"/>
        <v>3641279.2333333334</v>
      </c>
    </row>
    <row r="166" spans="1:15" s="2" customFormat="1">
      <c r="A166" s="57">
        <v>44347</v>
      </c>
      <c r="B166" s="26">
        <v>419956.79999999993</v>
      </c>
      <c r="C166" s="26">
        <v>1515725.2000000002</v>
      </c>
      <c r="D166" s="26">
        <v>775326.40000000014</v>
      </c>
      <c r="E166" s="27">
        <v>215416.59999999998</v>
      </c>
      <c r="F166" s="26">
        <f>158606.3+194.5</f>
        <v>158800.79999999999</v>
      </c>
      <c r="G166" s="28">
        <f t="shared" si="13"/>
        <v>3085225.8000000003</v>
      </c>
      <c r="H166" s="26">
        <v>18823.699999999997</v>
      </c>
      <c r="I166" s="26">
        <v>59255.3</v>
      </c>
      <c r="J166" s="26">
        <v>824435.99999999988</v>
      </c>
      <c r="K166" s="26">
        <v>128540.5</v>
      </c>
      <c r="L166" s="28">
        <v>-47388.4333333334</v>
      </c>
      <c r="M166" s="28">
        <v>-342319.19999999995</v>
      </c>
      <c r="N166" s="28">
        <f t="shared" si="15"/>
        <v>641347.86666666658</v>
      </c>
      <c r="O166" s="28">
        <f t="shared" si="12"/>
        <v>3726573.666666667</v>
      </c>
    </row>
    <row r="167" spans="1:15" s="2" customFormat="1">
      <c r="A167" s="57">
        <v>44377</v>
      </c>
      <c r="B167" s="26">
        <v>458192.3</v>
      </c>
      <c r="C167" s="26">
        <v>1589876.0300000003</v>
      </c>
      <c r="D167" s="26">
        <v>821663.4</v>
      </c>
      <c r="E167" s="27">
        <v>225156.69999999995</v>
      </c>
      <c r="F167" s="26">
        <f>164311.4+186.1</f>
        <v>164497.5</v>
      </c>
      <c r="G167" s="28">
        <f t="shared" si="13"/>
        <v>3259385.9300000006</v>
      </c>
      <c r="H167" s="26">
        <v>23041.699999999997</v>
      </c>
      <c r="I167" s="26">
        <v>65638.100000000006</v>
      </c>
      <c r="J167" s="26">
        <v>835586.79999999993</v>
      </c>
      <c r="K167" s="26">
        <v>133325.59999999998</v>
      </c>
      <c r="L167" s="28">
        <v>-90693.100000000079</v>
      </c>
      <c r="M167" s="28">
        <v>-334213.79999999981</v>
      </c>
      <c r="N167" s="28">
        <f t="shared" si="15"/>
        <v>632685.30000000005</v>
      </c>
      <c r="O167" s="28">
        <f t="shared" si="12"/>
        <v>3892071.2300000004</v>
      </c>
    </row>
    <row r="168" spans="1:15" s="2" customFormat="1" ht="18">
      <c r="A168" s="57" t="s">
        <v>56</v>
      </c>
      <c r="B168" s="26">
        <v>467263.13333333324</v>
      </c>
      <c r="C168" s="26">
        <v>1653985.8633333331</v>
      </c>
      <c r="D168" s="26">
        <v>831070.53333333333</v>
      </c>
      <c r="E168" s="27">
        <v>226194.40000000002</v>
      </c>
      <c r="F168" s="26">
        <f>165058.4+186.1</f>
        <v>165244.5</v>
      </c>
      <c r="G168" s="28">
        <f t="shared" si="13"/>
        <v>3343758.4299999992</v>
      </c>
      <c r="H168" s="26">
        <v>23036.799999999999</v>
      </c>
      <c r="I168" s="26">
        <v>64846.5</v>
      </c>
      <c r="J168" s="26">
        <v>858214.66666666663</v>
      </c>
      <c r="K168" s="26">
        <v>133325.59999999998</v>
      </c>
      <c r="L168" s="28">
        <v>-48310.23333333341</v>
      </c>
      <c r="M168" s="28">
        <v>-407311.73333333334</v>
      </c>
      <c r="N168" s="28">
        <f t="shared" si="15"/>
        <v>623801.59999999986</v>
      </c>
      <c r="O168" s="28">
        <f t="shared" si="12"/>
        <v>3967560.0299999993</v>
      </c>
    </row>
    <row r="169" spans="1:15" s="2" customFormat="1" ht="18">
      <c r="A169" s="57" t="s">
        <v>57</v>
      </c>
      <c r="B169" s="26">
        <v>464384.96666666679</v>
      </c>
      <c r="C169" s="26">
        <v>1688957.3666666667</v>
      </c>
      <c r="D169" s="26">
        <v>873637.36666666681</v>
      </c>
      <c r="E169" s="27">
        <v>221551.40000000002</v>
      </c>
      <c r="F169" s="26">
        <f>184453.2+186.1</f>
        <v>184639.30000000002</v>
      </c>
      <c r="G169" s="28">
        <f t="shared" si="13"/>
        <v>3433170.4</v>
      </c>
      <c r="H169" s="26">
        <v>20928.5</v>
      </c>
      <c r="I169" s="26">
        <v>62211.199999999997</v>
      </c>
      <c r="J169" s="26">
        <v>882119.53333333321</v>
      </c>
      <c r="K169" s="26">
        <v>133325.59999999998</v>
      </c>
      <c r="L169" s="28">
        <v>-96396.566666666768</v>
      </c>
      <c r="M169" s="28">
        <v>-411601.86666666664</v>
      </c>
      <c r="N169" s="28">
        <f t="shared" si="15"/>
        <v>590586.39999999967</v>
      </c>
      <c r="O169" s="28">
        <f t="shared" si="12"/>
        <v>4023756.7999999998</v>
      </c>
    </row>
    <row r="170" spans="1:15" s="2" customFormat="1" ht="18">
      <c r="A170" s="76" t="s">
        <v>58</v>
      </c>
      <c r="B170" s="26">
        <v>452697.39999999997</v>
      </c>
      <c r="C170" s="26">
        <v>1675444.2</v>
      </c>
      <c r="D170" s="26">
        <v>964342.7</v>
      </c>
      <c r="E170" s="27">
        <v>234167.69999999998</v>
      </c>
      <c r="F170" s="26">
        <f>11844.5+186.1</f>
        <v>12030.6</v>
      </c>
      <c r="G170" s="28">
        <f t="shared" si="13"/>
        <v>3338682.6</v>
      </c>
      <c r="H170" s="26">
        <v>16502.599999999999</v>
      </c>
      <c r="I170" s="26">
        <v>56628.299999999996</v>
      </c>
      <c r="J170" s="26">
        <v>900897</v>
      </c>
      <c r="K170" s="26">
        <v>133325.59999999998</v>
      </c>
      <c r="L170" s="28">
        <v>-83959.5</v>
      </c>
      <c r="M170" s="28">
        <v>-310064.5</v>
      </c>
      <c r="N170" s="28">
        <f t="shared" si="15"/>
        <v>713329.5</v>
      </c>
      <c r="O170" s="28">
        <f t="shared" si="12"/>
        <v>4052012.1</v>
      </c>
    </row>
    <row r="171" spans="1:15" s="2" customFormat="1" ht="18">
      <c r="A171" s="76" t="s">
        <v>59</v>
      </c>
      <c r="B171" s="26">
        <v>446023.89999999997</v>
      </c>
      <c r="C171" s="26">
        <v>1673106.666666667</v>
      </c>
      <c r="D171" s="26">
        <v>960232.16666666674</v>
      </c>
      <c r="E171" s="27">
        <v>256977.09999999995</v>
      </c>
      <c r="F171" s="26">
        <f>12334.7+186.1</f>
        <v>12520.800000000001</v>
      </c>
      <c r="G171" s="28">
        <f t="shared" ref="G171:G182" si="16">SUM(B171:F171)</f>
        <v>3348860.6333333333</v>
      </c>
      <c r="H171" s="26">
        <v>16453</v>
      </c>
      <c r="I171" s="26">
        <v>56167.700000000004</v>
      </c>
      <c r="J171" s="26">
        <v>919741.79999999993</v>
      </c>
      <c r="K171" s="26">
        <v>133325.59999999998</v>
      </c>
      <c r="L171" s="28">
        <v>-67714.233333333294</v>
      </c>
      <c r="M171" s="28">
        <v>-329509.23333333334</v>
      </c>
      <c r="N171" s="28">
        <f t="shared" si="15"/>
        <v>728464.6333333333</v>
      </c>
      <c r="O171" s="28">
        <f t="shared" si="12"/>
        <v>4077325.2666666666</v>
      </c>
    </row>
    <row r="172" spans="1:15" s="2" customFormat="1" ht="18">
      <c r="A172" s="76" t="s">
        <v>61</v>
      </c>
      <c r="B172" s="26">
        <v>450556.39999999997</v>
      </c>
      <c r="C172" s="26">
        <v>1612604.4333333331</v>
      </c>
      <c r="D172" s="26">
        <v>974650.63333333342</v>
      </c>
      <c r="E172" s="27">
        <v>258218.69999999998</v>
      </c>
      <c r="F172" s="26">
        <f>12317.7+186.1</f>
        <v>12503.800000000001</v>
      </c>
      <c r="G172" s="28">
        <f t="shared" si="16"/>
        <v>3308533.9666666663</v>
      </c>
      <c r="H172" s="26">
        <v>16513.599999999999</v>
      </c>
      <c r="I172" s="26">
        <v>61852.1</v>
      </c>
      <c r="J172" s="26">
        <v>942019.4</v>
      </c>
      <c r="K172" s="26">
        <v>133325.59999999998</v>
      </c>
      <c r="L172" s="28">
        <v>-44625.86666666661</v>
      </c>
      <c r="M172" s="28">
        <v>-306458.16666666669</v>
      </c>
      <c r="N172" s="28">
        <f t="shared" si="15"/>
        <v>802626.66666666651</v>
      </c>
      <c r="O172" s="28">
        <f t="shared" si="12"/>
        <v>4111160.6333333328</v>
      </c>
    </row>
    <row r="173" spans="1:15" s="2" customFormat="1" ht="18">
      <c r="A173" s="76" t="s">
        <v>62</v>
      </c>
      <c r="B173" s="26">
        <v>478733.2</v>
      </c>
      <c r="C173" s="26">
        <v>1572392.1999999997</v>
      </c>
      <c r="D173" s="26">
        <v>987235.6</v>
      </c>
      <c r="E173" s="27">
        <v>254710.69999999998</v>
      </c>
      <c r="F173" s="26">
        <f>12103.6+186.1</f>
        <v>12289.7</v>
      </c>
      <c r="G173" s="28">
        <f t="shared" si="16"/>
        <v>3305361.4</v>
      </c>
      <c r="H173" s="26">
        <v>19417</v>
      </c>
      <c r="I173" s="26">
        <v>56884.399999999994</v>
      </c>
      <c r="J173" s="26">
        <v>956122.09999999986</v>
      </c>
      <c r="K173" s="26">
        <v>133325.59999999998</v>
      </c>
      <c r="L173" s="28">
        <v>-30946.200000000114</v>
      </c>
      <c r="M173" s="28">
        <v>-306881.59999999998</v>
      </c>
      <c r="N173" s="28">
        <f t="shared" si="15"/>
        <v>827921.2999999997</v>
      </c>
      <c r="O173" s="28">
        <f t="shared" si="12"/>
        <v>4133282.6999999997</v>
      </c>
    </row>
    <row r="174" spans="1:15" s="2" customFormat="1" ht="18">
      <c r="A174" s="76" t="s">
        <v>63</v>
      </c>
      <c r="B174" s="26">
        <v>450571.83333333337</v>
      </c>
      <c r="C174" s="26">
        <v>1746322.1666666663</v>
      </c>
      <c r="D174" s="26">
        <v>981140.56666666653</v>
      </c>
      <c r="E174" s="27">
        <v>252261.50000000003</v>
      </c>
      <c r="F174" s="26">
        <f>12183.2+186.1</f>
        <v>12369.300000000001</v>
      </c>
      <c r="G174" s="28">
        <f t="shared" si="16"/>
        <v>3442665.3666666658</v>
      </c>
      <c r="H174" s="26">
        <v>19479.8</v>
      </c>
      <c r="I174" s="26">
        <v>55379.4</v>
      </c>
      <c r="J174" s="26">
        <v>971551.83333333326</v>
      </c>
      <c r="K174" s="26">
        <v>133325.6</v>
      </c>
      <c r="L174" s="28">
        <v>-31415.566666666731</v>
      </c>
      <c r="M174" s="28">
        <v>-305939.56666666683</v>
      </c>
      <c r="N174" s="28">
        <f t="shared" ref="N174:N180" si="17">SUM(H174:M174)</f>
        <v>842381.49999999977</v>
      </c>
      <c r="O174" s="28">
        <f t="shared" si="12"/>
        <v>4285046.8666666653</v>
      </c>
    </row>
    <row r="175" spans="1:15" s="2" customFormat="1" ht="18">
      <c r="A175" s="76" t="s">
        <v>64</v>
      </c>
      <c r="B175" s="26">
        <v>442503.76666666672</v>
      </c>
      <c r="C175" s="26">
        <v>1696040.033333333</v>
      </c>
      <c r="D175" s="26">
        <v>1022650.2333333335</v>
      </c>
      <c r="E175" s="27">
        <v>289165.90000000002</v>
      </c>
      <c r="F175" s="26">
        <f>13159.5+186.1</f>
        <v>13345.6</v>
      </c>
      <c r="G175" s="28">
        <f t="shared" si="16"/>
        <v>3463705.5333333332</v>
      </c>
      <c r="H175" s="26">
        <v>19531.599999999999</v>
      </c>
      <c r="I175" s="26">
        <v>55379.399999999994</v>
      </c>
      <c r="J175" s="26">
        <v>995545.8666666667</v>
      </c>
      <c r="K175" s="26">
        <v>133325.6</v>
      </c>
      <c r="L175" s="28">
        <v>15849.666666666759</v>
      </c>
      <c r="M175" s="28">
        <v>-304242.63333333336</v>
      </c>
      <c r="N175" s="28">
        <f t="shared" si="17"/>
        <v>915389.50000000023</v>
      </c>
      <c r="O175" s="28">
        <f t="shared" si="12"/>
        <v>4379095.0333333332</v>
      </c>
    </row>
    <row r="176" spans="1:15" s="2" customFormat="1" ht="18">
      <c r="A176" s="76" t="s">
        <v>65</v>
      </c>
      <c r="B176" s="26">
        <v>442169.80000000005</v>
      </c>
      <c r="C176" s="26">
        <v>1703696.2</v>
      </c>
      <c r="D176" s="26">
        <v>1035025.2999999999</v>
      </c>
      <c r="E176" s="27">
        <v>289958.90000000002</v>
      </c>
      <c r="F176" s="26">
        <f>16854.9+186.1</f>
        <v>17041</v>
      </c>
      <c r="G176" s="28">
        <f t="shared" si="16"/>
        <v>3487891.1999999997</v>
      </c>
      <c r="H176" s="26">
        <v>19507.7</v>
      </c>
      <c r="I176" s="26">
        <v>55379.399999999994</v>
      </c>
      <c r="J176" s="26">
        <v>976931.6</v>
      </c>
      <c r="K176" s="26">
        <v>133325.59999999998</v>
      </c>
      <c r="L176" s="28">
        <v>89443.300000000076</v>
      </c>
      <c r="M176" s="28">
        <v>-305691.89999999997</v>
      </c>
      <c r="N176" s="28">
        <f t="shared" si="17"/>
        <v>968895.7</v>
      </c>
      <c r="O176" s="28">
        <f t="shared" si="12"/>
        <v>4456786.8999999994</v>
      </c>
    </row>
    <row r="177" spans="1:15" s="2" customFormat="1" ht="18">
      <c r="A177" s="76" t="s">
        <v>66</v>
      </c>
      <c r="B177" s="26">
        <v>445562.63333333336</v>
      </c>
      <c r="C177" s="26">
        <v>1811489.2999999998</v>
      </c>
      <c r="D177" s="26">
        <v>1041490.3999999999</v>
      </c>
      <c r="E177" s="27">
        <v>268162.5</v>
      </c>
      <c r="F177" s="26">
        <f>16660.1+186.1</f>
        <v>16846.199999999997</v>
      </c>
      <c r="G177" s="28">
        <f t="shared" si="16"/>
        <v>3583551.0333333332</v>
      </c>
      <c r="H177" s="26">
        <v>19574.099999999999</v>
      </c>
      <c r="I177" s="26">
        <v>55379.399999999994</v>
      </c>
      <c r="J177" s="26">
        <v>994664.79999999981</v>
      </c>
      <c r="K177" s="26">
        <v>133325.59999999998</v>
      </c>
      <c r="L177" s="28">
        <v>121105.99999999997</v>
      </c>
      <c r="M177" s="28">
        <v>-311196.23333333328</v>
      </c>
      <c r="N177" s="28">
        <f t="shared" si="17"/>
        <v>1012853.6666666666</v>
      </c>
      <c r="O177" s="28">
        <f t="shared" si="12"/>
        <v>4596404.7</v>
      </c>
    </row>
    <row r="178" spans="1:15" s="2" customFormat="1" ht="18">
      <c r="A178" s="76" t="s">
        <v>67</v>
      </c>
      <c r="B178" s="26">
        <v>443364.56666666671</v>
      </c>
      <c r="C178" s="26">
        <v>1865940.9</v>
      </c>
      <c r="D178" s="26">
        <v>1044218.3</v>
      </c>
      <c r="E178" s="27">
        <v>294459.3</v>
      </c>
      <c r="F178" s="26">
        <f>16604.8+186.1</f>
        <v>16790.899999999998</v>
      </c>
      <c r="G178" s="28">
        <f t="shared" si="16"/>
        <v>3664773.9666666663</v>
      </c>
      <c r="H178" s="26">
        <v>19638.400000000001</v>
      </c>
      <c r="I178" s="26">
        <v>55379.399999999994</v>
      </c>
      <c r="J178" s="26">
        <v>1011619.5999999999</v>
      </c>
      <c r="K178" s="26">
        <v>133325.59999999998</v>
      </c>
      <c r="L178" s="28">
        <v>103947.90000000017</v>
      </c>
      <c r="M178" s="28">
        <v>-295828.06666666665</v>
      </c>
      <c r="N178" s="28">
        <f t="shared" si="17"/>
        <v>1028082.8333333335</v>
      </c>
      <c r="O178" s="28">
        <f t="shared" si="12"/>
        <v>4692856.8</v>
      </c>
    </row>
    <row r="179" spans="1:15" s="2" customFormat="1" ht="18">
      <c r="A179" s="76" t="s">
        <v>68</v>
      </c>
      <c r="B179" s="26">
        <v>519373.1</v>
      </c>
      <c r="C179" s="26">
        <v>1920444.2</v>
      </c>
      <c r="D179" s="26">
        <v>1025777.7000000002</v>
      </c>
      <c r="E179" s="27">
        <v>265190.3</v>
      </c>
      <c r="F179" s="26">
        <f>16774.1+186.1</f>
        <v>16960.199999999997</v>
      </c>
      <c r="G179" s="28">
        <f t="shared" si="16"/>
        <v>3747745.5</v>
      </c>
      <c r="H179" s="26">
        <v>18622.400000000001</v>
      </c>
      <c r="I179" s="26">
        <v>53079.899999999994</v>
      </c>
      <c r="J179" s="26">
        <v>1018905.1999999998</v>
      </c>
      <c r="K179" s="26">
        <v>133325.59999999998</v>
      </c>
      <c r="L179" s="28">
        <v>-17485.800000000017</v>
      </c>
      <c r="M179" s="28">
        <v>-81044.3</v>
      </c>
      <c r="N179" s="28">
        <f t="shared" si="17"/>
        <v>1125402.9999999995</v>
      </c>
      <c r="O179" s="28">
        <f t="shared" si="12"/>
        <v>4873148.5</v>
      </c>
    </row>
    <row r="180" spans="1:15" s="2" customFormat="1" ht="18">
      <c r="A180" s="76" t="s">
        <v>69</v>
      </c>
      <c r="B180" s="26">
        <v>514457.89999999991</v>
      </c>
      <c r="C180" s="26">
        <v>2242035.1999999997</v>
      </c>
      <c r="D180" s="26">
        <v>1003633.0999999999</v>
      </c>
      <c r="E180" s="27">
        <v>289009.7</v>
      </c>
      <c r="F180" s="26">
        <f>16890+186.1</f>
        <v>17076.099999999999</v>
      </c>
      <c r="G180" s="28">
        <f t="shared" si="16"/>
        <v>4066211.9999999995</v>
      </c>
      <c r="H180" s="26">
        <v>18427.7</v>
      </c>
      <c r="I180" s="26">
        <v>53079.899999999994</v>
      </c>
      <c r="J180" s="26">
        <v>1033685.2999999998</v>
      </c>
      <c r="K180" s="26">
        <v>133325.59999999998</v>
      </c>
      <c r="L180" s="28">
        <v>-270213.89999999991</v>
      </c>
      <c r="M180" s="28">
        <v>-78735.000000000058</v>
      </c>
      <c r="N180" s="28">
        <f t="shared" si="17"/>
        <v>889569.60000000009</v>
      </c>
      <c r="O180" s="28">
        <f t="shared" si="12"/>
        <v>4955781.5999999996</v>
      </c>
    </row>
    <row r="181" spans="1:15" s="2" customFormat="1" ht="18">
      <c r="A181" s="76" t="s">
        <v>70</v>
      </c>
      <c r="B181" s="26">
        <v>505494.49999999994</v>
      </c>
      <c r="C181" s="26">
        <v>2191011</v>
      </c>
      <c r="D181" s="26">
        <v>1027475.2999999998</v>
      </c>
      <c r="E181" s="27">
        <v>278527.40000000002</v>
      </c>
      <c r="F181" s="26">
        <f>15979.3+186.1</f>
        <v>16165.4</v>
      </c>
      <c r="G181" s="28">
        <f t="shared" si="16"/>
        <v>4018673.5999999996</v>
      </c>
      <c r="H181" s="26">
        <v>18504.400000000001</v>
      </c>
      <c r="I181" s="26">
        <v>53079.899999999994</v>
      </c>
      <c r="J181" s="26">
        <v>1044737.2000000001</v>
      </c>
      <c r="K181" s="26">
        <v>133325.59999999998</v>
      </c>
      <c r="L181" s="28">
        <v>-196556.29999999996</v>
      </c>
      <c r="M181" s="28">
        <v>-83908.400000000052</v>
      </c>
      <c r="N181" s="28">
        <f t="shared" ref="N181" si="18">SUM(H181:M181)</f>
        <v>969182.4</v>
      </c>
      <c r="O181" s="28">
        <f t="shared" si="12"/>
        <v>4987856</v>
      </c>
    </row>
    <row r="182" spans="1:15" s="2" customFormat="1" ht="18">
      <c r="A182" s="76" t="s">
        <v>72</v>
      </c>
      <c r="B182" s="26">
        <v>508753.2</v>
      </c>
      <c r="C182" s="26">
        <v>2170816.7999999998</v>
      </c>
      <c r="D182" s="26">
        <v>1108469.8999999997</v>
      </c>
      <c r="E182" s="27">
        <v>279134.59999999998</v>
      </c>
      <c r="F182" s="26">
        <f>37852.3+186.1</f>
        <v>38038.400000000001</v>
      </c>
      <c r="G182" s="28">
        <f t="shared" si="16"/>
        <v>4105212.8999999994</v>
      </c>
      <c r="H182" s="26">
        <v>14402.7</v>
      </c>
      <c r="I182" s="26">
        <v>53079.899999999994</v>
      </c>
      <c r="J182" s="26">
        <v>1059827.1000000001</v>
      </c>
      <c r="K182" s="26">
        <v>133325.59999999998</v>
      </c>
      <c r="L182" s="28">
        <v>-161536.39999999991</v>
      </c>
      <c r="M182" s="28">
        <v>-140727.00000000003</v>
      </c>
      <c r="N182" s="28">
        <f t="shared" ref="N182" si="19">SUM(H182:M182)</f>
        <v>958371.90000000037</v>
      </c>
      <c r="O182" s="28">
        <f t="shared" si="12"/>
        <v>5063584.8</v>
      </c>
    </row>
    <row r="183" spans="1:15" ht="18.75">
      <c r="A183" s="61" t="s">
        <v>54</v>
      </c>
      <c r="B183" s="62"/>
      <c r="C183" s="6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60"/>
    </row>
    <row r="184" spans="1:15" ht="18.75">
      <c r="A184" s="63" t="s">
        <v>44</v>
      </c>
      <c r="B184" s="64"/>
      <c r="C184" s="64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9"/>
    </row>
    <row r="185" spans="1:15" ht="18.7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t="18.7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>
      <c r="J187" s="2"/>
      <c r="K187" s="2"/>
      <c r="M187" s="2"/>
    </row>
    <row r="188" spans="1:15">
      <c r="J188" s="2"/>
      <c r="K188" s="2"/>
      <c r="M188" s="2"/>
    </row>
    <row r="189" spans="1:15">
      <c r="J189" s="2"/>
      <c r="K189" s="2"/>
      <c r="M189" s="2"/>
    </row>
    <row r="190" spans="1:15">
      <c r="J190" s="2"/>
      <c r="K190" s="2"/>
      <c r="M190" s="2"/>
    </row>
    <row r="191" spans="1:15">
      <c r="J191" s="2"/>
      <c r="K191" s="2"/>
      <c r="M191" s="2"/>
    </row>
    <row r="192" spans="1:15">
      <c r="J192" s="2"/>
      <c r="K192" s="2"/>
      <c r="M192" s="2"/>
    </row>
    <row r="193" spans="10:13">
      <c r="J193" s="2"/>
      <c r="K193" s="2"/>
      <c r="M193" s="2"/>
    </row>
    <row r="194" spans="10:13">
      <c r="J194" s="2"/>
      <c r="K194" s="2"/>
      <c r="M194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68"/>
  <sheetViews>
    <sheetView tabSelected="1" workbookViewId="0">
      <pane xSplit="1" ySplit="6" topLeftCell="B57" activePane="bottomRight" state="frozen"/>
      <selection pane="topRight" activeCell="B1" sqref="B1"/>
      <selection pane="bottomLeft" activeCell="A7" sqref="A7"/>
      <selection pane="bottomRight" activeCell="A65" sqref="A65"/>
    </sheetView>
  </sheetViews>
  <sheetFormatPr baseColWidth="10"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0" t="s">
        <v>53</v>
      </c>
    </row>
    <row r="2" spans="1:19" s="29" customFormat="1" ht="19.5">
      <c r="A2" s="77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2" t="s">
        <v>36</v>
      </c>
      <c r="B5" s="80" t="s">
        <v>27</v>
      </c>
      <c r="C5" s="80"/>
      <c r="D5" s="80"/>
      <c r="E5" s="80"/>
      <c r="F5" s="80"/>
      <c r="G5" s="80"/>
      <c r="H5" s="80" t="s">
        <v>49</v>
      </c>
      <c r="I5" s="80"/>
      <c r="J5" s="80"/>
      <c r="K5" s="80"/>
      <c r="L5" s="80"/>
      <c r="M5" s="80"/>
      <c r="N5" s="80"/>
      <c r="O5" s="81" t="s">
        <v>35</v>
      </c>
    </row>
    <row r="6" spans="1:19" s="29" customFormat="1" ht="93.75">
      <c r="A6" s="83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51" t="s">
        <v>48</v>
      </c>
      <c r="N6" s="51" t="s">
        <v>1</v>
      </c>
      <c r="O6" s="81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17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17" si="1">SUM(H7:M7)</f>
        <v>132533.80000000002</v>
      </c>
      <c r="O7" s="28">
        <f t="shared" ref="O7:O33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>SUM(B18:F18)</f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8">
        <v>3236.4844970000017</v>
      </c>
      <c r="M18" s="28">
        <v>40070.499999999993</v>
      </c>
      <c r="N18" s="28">
        <f t="shared" ref="N18:N48" si="3">SUM(H18:M18)</f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ref="G19:G50" si="4">SUM(B19:F19)</f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3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4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3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4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3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4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3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4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3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4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3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4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3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4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3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4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3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4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3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4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3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4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3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4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3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4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3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4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3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4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3"/>
        <v>358865.7</v>
      </c>
      <c r="O34" s="28">
        <f>N34+G34</f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4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3"/>
        <v>330064.1999999999</v>
      </c>
      <c r="O35" s="28">
        <f t="shared" ref="O35:O48" si="5">N35+G35</f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4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3"/>
        <v>334915.90000000002</v>
      </c>
      <c r="O36" s="28">
        <f t="shared" si="5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4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3"/>
        <v>350485.5388888889</v>
      </c>
      <c r="O37" s="28">
        <f t="shared" si="5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4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3"/>
        <v>355989.19999999995</v>
      </c>
      <c r="O38" s="28">
        <f t="shared" si="5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4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3"/>
        <v>350641.69999999995</v>
      </c>
      <c r="O39" s="28">
        <f t="shared" si="5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4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3"/>
        <v>401600.89999999991</v>
      </c>
      <c r="O40" s="28">
        <f t="shared" si="5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4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3"/>
        <v>441102.6</v>
      </c>
      <c r="O41" s="28">
        <f t="shared" si="5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si="4"/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-60227.500000000029</v>
      </c>
      <c r="M42" s="28">
        <v>-39482.000000000044</v>
      </c>
      <c r="N42" s="28">
        <f t="shared" si="3"/>
        <v>474763.09999999992</v>
      </c>
      <c r="O42" s="28">
        <f t="shared" si="5"/>
        <v>1709473.5999999999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4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-47863.149999999921</v>
      </c>
      <c r="M43" s="28">
        <v>-135584.70000000004</v>
      </c>
      <c r="N43" s="28">
        <f t="shared" si="3"/>
        <v>402721.4</v>
      </c>
      <c r="O43" s="28">
        <f t="shared" si="5"/>
        <v>1752795.2000000002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4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-77018.399999999994</v>
      </c>
      <c r="M44" s="28">
        <v>-141703.20000000001</v>
      </c>
      <c r="N44" s="28">
        <f t="shared" si="3"/>
        <v>391310.49999999994</v>
      </c>
      <c r="O44" s="28">
        <f t="shared" si="5"/>
        <v>1861454.4000000001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4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-39567.100000000006</v>
      </c>
      <c r="M45" s="28">
        <v>-156505.49999999997</v>
      </c>
      <c r="N45" s="28">
        <f t="shared" si="3"/>
        <v>436035.5</v>
      </c>
      <c r="O45" s="28">
        <f t="shared" si="5"/>
        <v>1919839.75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>SUM(B46:F46)</f>
        <v>1556639.1000000003</v>
      </c>
      <c r="H46" s="26">
        <v>12022.2</v>
      </c>
      <c r="I46" s="26">
        <v>17665.900000000001</v>
      </c>
      <c r="J46" s="26">
        <v>514286.39999999997</v>
      </c>
      <c r="K46" s="26">
        <v>77484.100000000006</v>
      </c>
      <c r="L46" s="28">
        <v>-55319.700000000077</v>
      </c>
      <c r="M46" s="28">
        <v>-133064.19999999998</v>
      </c>
      <c r="N46" s="28">
        <f t="shared" si="3"/>
        <v>433074.69999999995</v>
      </c>
      <c r="O46" s="28">
        <f t="shared" si="5"/>
        <v>1989713.8000000003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si="4"/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-90223.500000000058</v>
      </c>
      <c r="M47" s="28">
        <v>-146644.70000000001</v>
      </c>
      <c r="N47" s="28">
        <f t="shared" si="3"/>
        <v>397438.39999999985</v>
      </c>
      <c r="O47" s="28">
        <f t="shared" si="5"/>
        <v>2033730.0999999999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4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-60156.499999999985</v>
      </c>
      <c r="M48" s="28">
        <v>-173349.20000000007</v>
      </c>
      <c r="N48" s="28">
        <f t="shared" si="3"/>
        <v>432442.1</v>
      </c>
      <c r="O48" s="28">
        <f t="shared" si="5"/>
        <v>2116380.7000000002</v>
      </c>
    </row>
    <row r="49" spans="1:15" s="2" customForma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4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-57110.900000000009</v>
      </c>
      <c r="M49" s="28">
        <v>-190449.29999999996</v>
      </c>
      <c r="N49" s="28">
        <f>SUM(H49:M49)</f>
        <v>465184.89999999991</v>
      </c>
      <c r="O49" s="28">
        <f>N49+G49</f>
        <v>2221620.6999999997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4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-50731.299999999996</v>
      </c>
      <c r="M50" s="28">
        <v>-196479.80000000002</v>
      </c>
      <c r="N50" s="28">
        <f>SUM(H50:M50)</f>
        <v>476159.69999999984</v>
      </c>
      <c r="O50" s="28">
        <f>N50+G50</f>
        <v>2344042.2999999998</v>
      </c>
    </row>
    <row r="51" spans="1:15" s="2" customFormat="1">
      <c r="A51" s="57">
        <v>43555</v>
      </c>
      <c r="B51" s="26">
        <v>275528.7</v>
      </c>
      <c r="C51" s="26">
        <v>1001634.5999999999</v>
      </c>
      <c r="D51" s="26">
        <v>422729.69999999984</v>
      </c>
      <c r="E51" s="27">
        <v>185301.5</v>
      </c>
      <c r="F51" s="26">
        <v>79767.400000000009</v>
      </c>
      <c r="G51" s="28">
        <f t="shared" ref="G51:G57" si="6">SUM(B51:F51)</f>
        <v>1964961.8999999994</v>
      </c>
      <c r="H51" s="26">
        <v>13078.600000000002</v>
      </c>
      <c r="I51" s="26">
        <v>34809.4</v>
      </c>
      <c r="J51" s="26">
        <v>615426.1</v>
      </c>
      <c r="K51" s="26">
        <v>98046.5</v>
      </c>
      <c r="L51" s="28">
        <v>-82655.900000000183</v>
      </c>
      <c r="M51" s="28">
        <v>-236797.9</v>
      </c>
      <c r="N51" s="28">
        <f t="shared" ref="N51:N57" si="7">SUM(H51:M51)</f>
        <v>441906.79999999981</v>
      </c>
      <c r="O51" s="28">
        <f t="shared" ref="O51:O58" si="8">N51+G51</f>
        <v>2406868.6999999993</v>
      </c>
    </row>
    <row r="52" spans="1:15" s="2" customFormat="1">
      <c r="A52" s="57">
        <v>43646</v>
      </c>
      <c r="B52" s="26">
        <v>318283.69999999995</v>
      </c>
      <c r="C52" s="26">
        <v>1074559.1000000001</v>
      </c>
      <c r="D52" s="26">
        <v>458268.4</v>
      </c>
      <c r="E52" s="27">
        <v>178256.6</v>
      </c>
      <c r="F52" s="26">
        <v>83690.899999999994</v>
      </c>
      <c r="G52" s="28">
        <f t="shared" si="6"/>
        <v>2113058.7000000002</v>
      </c>
      <c r="H52" s="26">
        <v>13251.8</v>
      </c>
      <c r="I52" s="26">
        <v>38420.699999999997</v>
      </c>
      <c r="J52" s="26">
        <v>612269.5</v>
      </c>
      <c r="K52" s="26">
        <v>102581.4</v>
      </c>
      <c r="L52" s="28">
        <v>-78067.900000000052</v>
      </c>
      <c r="M52" s="28">
        <v>-230627.10000000003</v>
      </c>
      <c r="N52" s="28">
        <f t="shared" si="7"/>
        <v>457828.39999999997</v>
      </c>
      <c r="O52" s="28">
        <f t="shared" si="8"/>
        <v>2570887.1</v>
      </c>
    </row>
    <row r="53" spans="1:15" s="2" customFormat="1">
      <c r="A53" s="57">
        <v>43738</v>
      </c>
      <c r="B53" s="26">
        <v>317452.39999999997</v>
      </c>
      <c r="C53" s="26">
        <v>1118003.3</v>
      </c>
      <c r="D53" s="26">
        <v>454128</v>
      </c>
      <c r="E53" s="27">
        <v>185112.4</v>
      </c>
      <c r="F53" s="26">
        <v>89039.7</v>
      </c>
      <c r="G53" s="28">
        <f t="shared" si="6"/>
        <v>2163735.7999999998</v>
      </c>
      <c r="H53" s="26">
        <v>13461.2</v>
      </c>
      <c r="I53" s="26">
        <v>29487.1</v>
      </c>
      <c r="J53" s="26">
        <v>662468</v>
      </c>
      <c r="K53" s="26">
        <v>106929.3</v>
      </c>
      <c r="L53" s="28">
        <v>-81960.09999999986</v>
      </c>
      <c r="M53" s="28">
        <v>-242941.30000000005</v>
      </c>
      <c r="N53" s="28">
        <f t="shared" si="7"/>
        <v>487444.20000000019</v>
      </c>
      <c r="O53" s="28">
        <f t="shared" si="8"/>
        <v>2651180</v>
      </c>
    </row>
    <row r="54" spans="1:15" s="2" customFormat="1">
      <c r="A54" s="57">
        <v>43830</v>
      </c>
      <c r="B54" s="26">
        <v>359838.80000000005</v>
      </c>
      <c r="C54" s="26">
        <v>1070136.7999999998</v>
      </c>
      <c r="D54" s="26">
        <v>584633</v>
      </c>
      <c r="E54" s="27">
        <v>188088.8</v>
      </c>
      <c r="F54" s="26">
        <v>99059</v>
      </c>
      <c r="G54" s="28">
        <f t="shared" si="6"/>
        <v>2301756.4</v>
      </c>
      <c r="H54" s="26">
        <v>13357.7</v>
      </c>
      <c r="I54" s="26">
        <v>59688.299999999996</v>
      </c>
      <c r="J54" s="26">
        <v>694562.6</v>
      </c>
      <c r="K54" s="26">
        <v>109217.60000000001</v>
      </c>
      <c r="L54" s="28">
        <v>-66658.8</v>
      </c>
      <c r="M54" s="28">
        <v>-283513.40000000002</v>
      </c>
      <c r="N54" s="28">
        <f t="shared" si="7"/>
        <v>526653.99999999988</v>
      </c>
      <c r="O54" s="28">
        <f t="shared" si="8"/>
        <v>2828410.4</v>
      </c>
    </row>
    <row r="55" spans="1:15" s="2" customFormat="1">
      <c r="A55" s="57">
        <v>43921</v>
      </c>
      <c r="B55" s="26">
        <v>330623.39999999997</v>
      </c>
      <c r="C55" s="26">
        <v>1082118.7</v>
      </c>
      <c r="D55" s="26">
        <v>609190.6</v>
      </c>
      <c r="E55" s="27">
        <v>190685.09999999998</v>
      </c>
      <c r="F55" s="26">
        <f>107546+182.3</f>
        <v>107728.3</v>
      </c>
      <c r="G55" s="28">
        <f t="shared" si="6"/>
        <v>2320346.0999999996</v>
      </c>
      <c r="H55" s="26">
        <v>13526.1</v>
      </c>
      <c r="I55" s="26">
        <v>58131.8</v>
      </c>
      <c r="J55" s="26">
        <v>700933.30000000016</v>
      </c>
      <c r="K55" s="26">
        <v>114467.79999999999</v>
      </c>
      <c r="L55" s="28">
        <v>-57739.000000000116</v>
      </c>
      <c r="M55" s="28">
        <v>-304314.3</v>
      </c>
      <c r="N55" s="28">
        <f t="shared" si="7"/>
        <v>525005.70000000019</v>
      </c>
      <c r="O55" s="28">
        <f t="shared" si="8"/>
        <v>2845351.8</v>
      </c>
    </row>
    <row r="56" spans="1:15" s="2" customFormat="1">
      <c r="A56" s="57">
        <v>44012</v>
      </c>
      <c r="B56" s="26">
        <v>377987.4</v>
      </c>
      <c r="C56" s="26">
        <v>1180168.2999999998</v>
      </c>
      <c r="D56" s="26">
        <v>642361.4</v>
      </c>
      <c r="E56" s="27">
        <v>200919</v>
      </c>
      <c r="F56" s="26">
        <f>125705.7+182.3</f>
        <v>125888</v>
      </c>
      <c r="G56" s="28">
        <f t="shared" si="6"/>
        <v>2527324.0999999996</v>
      </c>
      <c r="H56" s="26">
        <v>7581.6</v>
      </c>
      <c r="I56" s="26">
        <v>55808.9</v>
      </c>
      <c r="J56" s="26">
        <v>749871.6</v>
      </c>
      <c r="K56" s="26">
        <v>119272.2</v>
      </c>
      <c r="L56" s="28">
        <v>-64272.100000000173</v>
      </c>
      <c r="M56" s="28">
        <v>-385519.6</v>
      </c>
      <c r="N56" s="28">
        <f t="shared" si="7"/>
        <v>482742.59999999974</v>
      </c>
      <c r="O56" s="28">
        <f t="shared" si="8"/>
        <v>3010066.6999999993</v>
      </c>
    </row>
    <row r="57" spans="1:15" s="2" customFormat="1">
      <c r="A57" s="57">
        <v>44104</v>
      </c>
      <c r="B57" s="26">
        <v>389340.1999999999</v>
      </c>
      <c r="C57" s="26">
        <v>1295715.9000000001</v>
      </c>
      <c r="D57" s="26">
        <v>678223.39999999991</v>
      </c>
      <c r="E57" s="27">
        <v>214148.39999999997</v>
      </c>
      <c r="F57" s="26">
        <f>138334.5+181.5</f>
        <v>138516</v>
      </c>
      <c r="G57" s="28">
        <f t="shared" si="6"/>
        <v>2715943.9</v>
      </c>
      <c r="H57" s="26">
        <v>9519.3000000000011</v>
      </c>
      <c r="I57" s="26">
        <v>65861.7</v>
      </c>
      <c r="J57" s="26">
        <v>779145.20000000007</v>
      </c>
      <c r="K57" s="26">
        <v>123993.09999999999</v>
      </c>
      <c r="L57" s="28">
        <v>-53578.699999999953</v>
      </c>
      <c r="M57" s="28">
        <v>-252699.00000000012</v>
      </c>
      <c r="N57" s="28">
        <f t="shared" si="7"/>
        <v>672241.6</v>
      </c>
      <c r="O57" s="28">
        <f t="shared" si="8"/>
        <v>3388185.5</v>
      </c>
    </row>
    <row r="58" spans="1:15" s="2" customFormat="1">
      <c r="A58" s="57">
        <v>44196</v>
      </c>
      <c r="B58" s="26">
        <v>433211.8</v>
      </c>
      <c r="C58" s="26">
        <v>1369841.3000000003</v>
      </c>
      <c r="D58" s="26">
        <v>723397.99999999988</v>
      </c>
      <c r="E58" s="27">
        <v>207328.49999999997</v>
      </c>
      <c r="F58" s="26">
        <f>141279.8+179.1</f>
        <v>141458.9</v>
      </c>
      <c r="G58" s="28">
        <f t="shared" ref="G58" si="9">SUM(B58:F58)</f>
        <v>2875238.5</v>
      </c>
      <c r="H58" s="26">
        <v>18100</v>
      </c>
      <c r="I58" s="26">
        <v>63218.3</v>
      </c>
      <c r="J58" s="26">
        <v>793900.2</v>
      </c>
      <c r="K58" s="26">
        <v>124007.9</v>
      </c>
      <c r="L58" s="28">
        <v>-52119.700000000012</v>
      </c>
      <c r="M58" s="28">
        <v>-281606.31651700003</v>
      </c>
      <c r="N58" s="28">
        <f t="shared" ref="N58" si="10">SUM(H58:M58)</f>
        <v>665500.38348299987</v>
      </c>
      <c r="O58" s="28">
        <f t="shared" si="8"/>
        <v>3540738.8834830001</v>
      </c>
    </row>
    <row r="59" spans="1:15" s="2" customFormat="1">
      <c r="A59" s="57">
        <v>44286</v>
      </c>
      <c r="B59" s="26">
        <v>396404.60000000003</v>
      </c>
      <c r="C59" s="26">
        <v>1445542.8999999997</v>
      </c>
      <c r="D59" s="26">
        <v>773663.29999999993</v>
      </c>
      <c r="E59" s="27">
        <v>224018.69999999992</v>
      </c>
      <c r="F59" s="26">
        <v>150926.1</v>
      </c>
      <c r="G59" s="28">
        <v>2990555.5999999996</v>
      </c>
      <c r="H59" s="26">
        <v>18910</v>
      </c>
      <c r="I59" s="26">
        <v>64851.1</v>
      </c>
      <c r="J59" s="26">
        <v>810308.29999999993</v>
      </c>
      <c r="K59" s="26">
        <v>128540.5</v>
      </c>
      <c r="L59" s="28">
        <v>-40174.400000000081</v>
      </c>
      <c r="M59" s="28">
        <v>-321694.99999999988</v>
      </c>
      <c r="N59" s="28">
        <v>660740.49999999988</v>
      </c>
      <c r="O59" s="28">
        <v>3651296.0999999996</v>
      </c>
    </row>
    <row r="60" spans="1:15" s="2" customFormat="1">
      <c r="A60" s="57">
        <v>44377</v>
      </c>
      <c r="B60" s="26">
        <v>458192.3</v>
      </c>
      <c r="C60" s="26">
        <v>1589876.0300000003</v>
      </c>
      <c r="D60" s="26">
        <v>821663.4</v>
      </c>
      <c r="E60" s="27">
        <v>225156.69999999995</v>
      </c>
      <c r="F60" s="26">
        <f>164311.4+186.1</f>
        <v>164497.5</v>
      </c>
      <c r="G60" s="28">
        <f t="shared" ref="G60:G62" si="11">SUM(B60:F60)</f>
        <v>3259385.9300000006</v>
      </c>
      <c r="H60" s="26">
        <v>23041.699999999997</v>
      </c>
      <c r="I60" s="26">
        <v>65638.100000000006</v>
      </c>
      <c r="J60" s="26">
        <v>835586.79999999993</v>
      </c>
      <c r="K60" s="26">
        <v>133325.59999999998</v>
      </c>
      <c r="L60" s="28">
        <v>-90693.100000000079</v>
      </c>
      <c r="M60" s="28">
        <v>-334213.79999999981</v>
      </c>
      <c r="N60" s="28">
        <f t="shared" ref="N60:N61" si="12">SUM(H60:M60)</f>
        <v>632685.30000000005</v>
      </c>
      <c r="O60" s="28">
        <f t="shared" ref="O60:O62" si="13">N60+G60</f>
        <v>3892071.2300000004</v>
      </c>
    </row>
    <row r="61" spans="1:15" s="2" customFormat="1" ht="18">
      <c r="A61" s="57" t="s">
        <v>58</v>
      </c>
      <c r="B61" s="26">
        <v>452697.39999999997</v>
      </c>
      <c r="C61" s="26">
        <v>1675444.2</v>
      </c>
      <c r="D61" s="26">
        <v>964342.7</v>
      </c>
      <c r="E61" s="27">
        <v>234167.69999999998</v>
      </c>
      <c r="F61" s="26">
        <f>11844.5+186.1</f>
        <v>12030.6</v>
      </c>
      <c r="G61" s="28">
        <f t="shared" si="11"/>
        <v>3338682.6</v>
      </c>
      <c r="H61" s="26">
        <v>16502.599999999999</v>
      </c>
      <c r="I61" s="26">
        <v>56628.299999999996</v>
      </c>
      <c r="J61" s="26">
        <v>900897</v>
      </c>
      <c r="K61" s="26">
        <v>133325.59999999998</v>
      </c>
      <c r="L61" s="28">
        <v>-83959.5</v>
      </c>
      <c r="M61" s="28">
        <v>-310064.5</v>
      </c>
      <c r="N61" s="28">
        <f t="shared" si="12"/>
        <v>713329.5</v>
      </c>
      <c r="O61" s="28">
        <f t="shared" si="13"/>
        <v>4052012.1</v>
      </c>
    </row>
    <row r="62" spans="1:15" s="2" customFormat="1" ht="18">
      <c r="A62" s="76" t="s">
        <v>62</v>
      </c>
      <c r="B62" s="26">
        <v>478733.2</v>
      </c>
      <c r="C62" s="26">
        <v>1572392.1999999997</v>
      </c>
      <c r="D62" s="26">
        <v>987235.6</v>
      </c>
      <c r="E62" s="27">
        <v>254710.69999999998</v>
      </c>
      <c r="F62" s="26">
        <f>12103.6+186.1</f>
        <v>12289.7</v>
      </c>
      <c r="G62" s="28">
        <f t="shared" si="11"/>
        <v>3305361.4</v>
      </c>
      <c r="H62" s="26">
        <v>19417</v>
      </c>
      <c r="I62" s="26">
        <v>56884.399999999994</v>
      </c>
      <c r="J62" s="26">
        <v>956122.09999999986</v>
      </c>
      <c r="K62" s="26">
        <v>133325.59999999998</v>
      </c>
      <c r="L62" s="28">
        <v>-30946.200000000114</v>
      </c>
      <c r="M62" s="28">
        <v>-306881.59999999998</v>
      </c>
      <c r="N62" s="28">
        <f t="shared" ref="N62" si="14">SUM(H62:M62)</f>
        <v>827921.2999999997</v>
      </c>
      <c r="O62" s="28">
        <f t="shared" si="13"/>
        <v>4133282.6999999997</v>
      </c>
    </row>
    <row r="63" spans="1:15" s="2" customFormat="1" ht="18">
      <c r="A63" s="76" t="s">
        <v>65</v>
      </c>
      <c r="B63" s="26">
        <v>442169.80000000005</v>
      </c>
      <c r="C63" s="26">
        <v>1703696.2</v>
      </c>
      <c r="D63" s="26">
        <v>1035025.2999999999</v>
      </c>
      <c r="E63" s="27">
        <v>289958.90000000002</v>
      </c>
      <c r="F63" s="26">
        <v>17041</v>
      </c>
      <c r="G63" s="28">
        <v>3487891.1999999997</v>
      </c>
      <c r="H63" s="26">
        <v>19507.7</v>
      </c>
      <c r="I63" s="26">
        <v>55379.399999999994</v>
      </c>
      <c r="J63" s="26">
        <v>976931.6</v>
      </c>
      <c r="K63" s="26">
        <v>133325.59999999998</v>
      </c>
      <c r="L63" s="28">
        <v>89443.300000000076</v>
      </c>
      <c r="M63" s="28">
        <v>-305691.89999999997</v>
      </c>
      <c r="N63" s="28">
        <v>968895.7</v>
      </c>
      <c r="O63" s="28">
        <v>4456786.8999999994</v>
      </c>
    </row>
    <row r="64" spans="1:15" s="2" customFormat="1" ht="18">
      <c r="A64" s="76" t="s">
        <v>68</v>
      </c>
      <c r="B64" s="26">
        <v>519373.1</v>
      </c>
      <c r="C64" s="26">
        <v>1920444.2</v>
      </c>
      <c r="D64" s="26">
        <v>1025777.7000000002</v>
      </c>
      <c r="E64" s="27">
        <v>265190.3</v>
      </c>
      <c r="F64" s="26">
        <v>16960.199999999997</v>
      </c>
      <c r="G64" s="28">
        <v>3747745.5</v>
      </c>
      <c r="H64" s="26">
        <v>18622.400000000001</v>
      </c>
      <c r="I64" s="26">
        <v>53079.899999999994</v>
      </c>
      <c r="J64" s="26">
        <v>1018905.1999999998</v>
      </c>
      <c r="K64" s="26">
        <v>133325.59999999998</v>
      </c>
      <c r="L64" s="28">
        <v>-17485.800000000017</v>
      </c>
      <c r="M64" s="28">
        <v>-81044.3</v>
      </c>
      <c r="N64" s="28">
        <v>1125402.9999999995</v>
      </c>
      <c r="O64" s="28">
        <v>4873148.5</v>
      </c>
    </row>
    <row r="65" spans="1:15" s="2" customFormat="1" ht="18">
      <c r="A65" s="76" t="s">
        <v>72</v>
      </c>
      <c r="B65" s="26">
        <v>508753.2</v>
      </c>
      <c r="C65" s="26">
        <v>2170816.7999999998</v>
      </c>
      <c r="D65" s="26">
        <v>1108469.8999999997</v>
      </c>
      <c r="E65" s="27">
        <v>279134.59999999998</v>
      </c>
      <c r="F65" s="26">
        <f>37852.3+186.1</f>
        <v>38038.400000000001</v>
      </c>
      <c r="G65" s="28">
        <f t="shared" ref="G65" si="15">SUM(B65:F65)</f>
        <v>4105212.8999999994</v>
      </c>
      <c r="H65" s="26">
        <v>14402.7</v>
      </c>
      <c r="I65" s="26">
        <v>53079.899999999994</v>
      </c>
      <c r="J65" s="26">
        <v>1059827.1000000001</v>
      </c>
      <c r="K65" s="26">
        <v>133325.59999999998</v>
      </c>
      <c r="L65" s="28">
        <v>-161536.39999999991</v>
      </c>
      <c r="M65" s="28">
        <v>-140727.00000000003</v>
      </c>
      <c r="N65" s="28">
        <f t="shared" ref="N65" si="16">SUM(H65:M65)</f>
        <v>958371.90000000037</v>
      </c>
      <c r="O65" s="28">
        <f t="shared" ref="O65" si="17">N65+G65</f>
        <v>5063584.8</v>
      </c>
    </row>
    <row r="66" spans="1:15" ht="18.75">
      <c r="A66" s="61" t="s">
        <v>55</v>
      </c>
      <c r="B66" s="62"/>
      <c r="C66" s="62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60"/>
    </row>
    <row r="67" spans="1:15" ht="18.75">
      <c r="A67" s="63" t="s">
        <v>44</v>
      </c>
      <c r="B67" s="64"/>
      <c r="C67" s="64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</row>
    <row r="68" spans="1:15" ht="18.7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90"/>
  <sheetViews>
    <sheetView topLeftCell="A4" workbookViewId="0">
      <selection activeCell="B20" sqref="B20:O20"/>
    </sheetView>
  </sheetViews>
  <sheetFormatPr baseColWidth="10"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0" t="s">
        <v>53</v>
      </c>
    </row>
    <row r="2" spans="1:19" s="29" customFormat="1" ht="19.5">
      <c r="A2" s="77" t="s">
        <v>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2" t="s">
        <v>36</v>
      </c>
      <c r="B5" s="80" t="s">
        <v>27</v>
      </c>
      <c r="C5" s="80"/>
      <c r="D5" s="80"/>
      <c r="E5" s="80"/>
      <c r="F5" s="80"/>
      <c r="G5" s="80"/>
      <c r="H5" s="80" t="s">
        <v>49</v>
      </c>
      <c r="I5" s="80"/>
      <c r="J5" s="80"/>
      <c r="K5" s="80"/>
      <c r="L5" s="80"/>
      <c r="M5" s="80"/>
      <c r="N5" s="80"/>
      <c r="O5" s="81" t="s">
        <v>35</v>
      </c>
    </row>
    <row r="6" spans="1:19" s="29" customFormat="1" ht="93.75">
      <c r="A6" s="83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5" t="s">
        <v>51</v>
      </c>
      <c r="L6" s="31" t="s">
        <v>43</v>
      </c>
      <c r="M6" s="51" t="s">
        <v>48</v>
      </c>
      <c r="N6" s="51" t="s">
        <v>1</v>
      </c>
      <c r="O6" s="81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8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8" si="1">SUM(H7:M7)</f>
        <v>178469.8</v>
      </c>
      <c r="O7" s="28">
        <f t="shared" ref="O7:O12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>SUM(B9:F9)</f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8">
        <v>3236.4844970000017</v>
      </c>
      <c r="M9" s="28">
        <v>40070.499999999993</v>
      </c>
      <c r="N9" s="28">
        <f t="shared" ref="N9:N16" si="3">SUM(H9:M9)</f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ref="G10:G18" si="4">SUM(B10:F10)</f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3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4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3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4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3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4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3"/>
        <v>358865.7</v>
      </c>
      <c r="O13" s="28">
        <f>N13+G13</f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4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3"/>
        <v>355989.19999999995</v>
      </c>
      <c r="O14" s="28">
        <f t="shared" ref="O14:O16" si="5">N14+G14</f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si="4"/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-60227.500000000029</v>
      </c>
      <c r="M15" s="28">
        <v>-39482.000000000044</v>
      </c>
      <c r="N15" s="28">
        <f t="shared" si="3"/>
        <v>474763.09999999992</v>
      </c>
      <c r="O15" s="28">
        <f t="shared" si="5"/>
        <v>1709473.5999999999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>SUM(B16:F16)</f>
        <v>1556639.1000000003</v>
      </c>
      <c r="H16" s="26">
        <v>12022.2</v>
      </c>
      <c r="I16" s="26">
        <v>17665.900000000001</v>
      </c>
      <c r="J16" s="26">
        <v>514286.39999999997</v>
      </c>
      <c r="K16" s="26">
        <v>77484.100000000006</v>
      </c>
      <c r="L16" s="28">
        <v>-55319.700000000077</v>
      </c>
      <c r="M16" s="28">
        <v>-133064.19999999998</v>
      </c>
      <c r="N16" s="28">
        <f t="shared" si="3"/>
        <v>433074.69999999995</v>
      </c>
      <c r="O16" s="28">
        <f t="shared" si="5"/>
        <v>1989713.8000000003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-50731.299999999996</v>
      </c>
      <c r="M17" s="28">
        <v>-196479.80000000002</v>
      </c>
      <c r="N17" s="28">
        <f>SUM(H17:M17)</f>
        <v>476159.69999999984</v>
      </c>
      <c r="O17" s="28">
        <f>N17+G17</f>
        <v>2344042.2999999998</v>
      </c>
    </row>
    <row r="18" spans="1:15" s="2" customFormat="1">
      <c r="A18" s="35">
        <v>2019</v>
      </c>
      <c r="B18" s="26">
        <v>359838.80000000005</v>
      </c>
      <c r="C18" s="26">
        <v>1070136.7999999998</v>
      </c>
      <c r="D18" s="26">
        <v>584633</v>
      </c>
      <c r="E18" s="27">
        <v>188088.8</v>
      </c>
      <c r="F18" s="26">
        <v>99059</v>
      </c>
      <c r="G18" s="28">
        <f t="shared" si="4"/>
        <v>2301756.4</v>
      </c>
      <c r="H18" s="26">
        <v>13357.7</v>
      </c>
      <c r="I18" s="26">
        <v>59688.299999999996</v>
      </c>
      <c r="J18" s="26">
        <v>694562.6</v>
      </c>
      <c r="K18" s="26">
        <v>109217.60000000001</v>
      </c>
      <c r="L18" s="28">
        <v>-66658.8</v>
      </c>
      <c r="M18" s="28">
        <v>-283513.40000000002</v>
      </c>
      <c r="N18" s="28">
        <f t="shared" ref="N18" si="6">SUM(H18:M18)</f>
        <v>526653.99999999988</v>
      </c>
      <c r="O18" s="28">
        <f t="shared" ref="O18:O20" si="7">N18+G18</f>
        <v>2828410.4</v>
      </c>
    </row>
    <row r="19" spans="1:15" s="2" customFormat="1">
      <c r="A19" s="35">
        <v>2020</v>
      </c>
      <c r="B19" s="26">
        <v>433211.8</v>
      </c>
      <c r="C19" s="26">
        <v>1369841.3000000003</v>
      </c>
      <c r="D19" s="26">
        <v>723397.99999999988</v>
      </c>
      <c r="E19" s="27">
        <v>207328.49999999997</v>
      </c>
      <c r="F19" s="26">
        <f>141279.8+179.1</f>
        <v>141458.9</v>
      </c>
      <c r="G19" s="28">
        <f t="shared" ref="G19" si="8">SUM(B19:F19)</f>
        <v>2875238.5</v>
      </c>
      <c r="H19" s="26">
        <v>18100</v>
      </c>
      <c r="I19" s="26">
        <v>63218.3</v>
      </c>
      <c r="J19" s="26">
        <v>793900.2</v>
      </c>
      <c r="K19" s="26">
        <v>124007.9</v>
      </c>
      <c r="L19" s="28">
        <v>-52119.700000000012</v>
      </c>
      <c r="M19" s="28">
        <v>-281606.31651700003</v>
      </c>
      <c r="N19" s="28">
        <f t="shared" ref="N19:N20" si="9">SUM(H19:M19)</f>
        <v>665500.38348299987</v>
      </c>
      <c r="O19" s="28">
        <f t="shared" si="7"/>
        <v>3540738.8834830001</v>
      </c>
    </row>
    <row r="20" spans="1:15" s="2" customFormat="1">
      <c r="A20" s="35">
        <v>2021</v>
      </c>
      <c r="B20" s="26">
        <v>478733.2</v>
      </c>
      <c r="C20" s="26">
        <v>1572392.1999999997</v>
      </c>
      <c r="D20" s="26">
        <v>987235.6</v>
      </c>
      <c r="E20" s="27">
        <v>254710.69999999998</v>
      </c>
      <c r="F20" s="26">
        <f>12103.6+186.1</f>
        <v>12289.7</v>
      </c>
      <c r="G20" s="28">
        <f t="shared" ref="G20" si="10">SUM(B20:F20)</f>
        <v>3305361.4</v>
      </c>
      <c r="H20" s="26">
        <v>19417</v>
      </c>
      <c r="I20" s="26">
        <v>56884.399999999994</v>
      </c>
      <c r="J20" s="26">
        <v>956122.09999999986</v>
      </c>
      <c r="K20" s="26">
        <v>133325.59999999998</v>
      </c>
      <c r="L20" s="28">
        <v>-30946.200000000114</v>
      </c>
      <c r="M20" s="28">
        <v>-306881.59999999998</v>
      </c>
      <c r="N20" s="28">
        <f t="shared" si="9"/>
        <v>827921.2999999997</v>
      </c>
      <c r="O20" s="28">
        <f t="shared" si="7"/>
        <v>4133282.6999999997</v>
      </c>
    </row>
    <row r="21" spans="1:15" ht="18.75">
      <c r="A21" s="61" t="s">
        <v>54</v>
      </c>
      <c r="B21" s="62"/>
      <c r="C21" s="6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0"/>
    </row>
    <row r="22" spans="1:15" ht="18.75">
      <c r="A22" s="63" t="s">
        <v>44</v>
      </c>
      <c r="B22" s="64"/>
      <c r="C22" s="64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/>
    </row>
    <row r="23" spans="1:15" ht="18.7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2016-11-30T12:33:26Z</cp:lastPrinted>
  <dcterms:created xsi:type="dcterms:W3CDTF">2000-09-13T06:18:37Z</dcterms:created>
  <dcterms:modified xsi:type="dcterms:W3CDTF">2022-11-24T08:50:09Z</dcterms:modified>
</cp:coreProperties>
</file>