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inst.bancaires'!$A$1:$I$188</definedName>
    <definedName name="Zone_impres_MI">'ii7 liquiditédes inst.bancaires'!$A$1:$I$187</definedName>
  </definedNames>
  <calcPr calcId="152511"/>
</workbook>
</file>

<file path=xl/calcChain.xml><?xml version="1.0" encoding="utf-8"?>
<calcChain xmlns="http://schemas.openxmlformats.org/spreadsheetml/2006/main">
  <c r="F24" i="1" l="1"/>
  <c r="F43" i="1"/>
  <c r="F184" i="1"/>
  <c r="F183" i="1" l="1"/>
  <c r="F182" i="1" l="1"/>
  <c r="F181" i="1" l="1"/>
  <c r="F180" i="1" l="1"/>
  <c r="F179" i="1" l="1"/>
  <c r="F178" i="1" l="1"/>
  <c r="E175" i="1" l="1"/>
  <c r="E23" i="1" l="1"/>
  <c r="F23" i="1" s="1"/>
  <c r="F176" i="1"/>
  <c r="F175" i="1" l="1"/>
  <c r="E174" i="1" l="1"/>
  <c r="F174" i="1" s="1"/>
  <c r="F173" i="1" l="1"/>
  <c r="F172" i="1" l="1"/>
  <c r="F171" i="1" l="1"/>
  <c r="F170" i="1" l="1"/>
  <c r="F169" i="1" l="1"/>
  <c r="F168" i="1" l="1"/>
  <c r="F167" i="1" l="1"/>
  <c r="F166" i="1" l="1"/>
  <c r="F165" i="1" l="1"/>
  <c r="E22" i="1" l="1"/>
  <c r="F22" i="1" s="1"/>
  <c r="E38" i="1"/>
  <c r="F38" i="1" s="1"/>
  <c r="E163" i="1"/>
  <c r="F163" i="1" s="1"/>
  <c r="E162" i="1" l="1"/>
  <c r="F162" i="1" s="1"/>
  <c r="E161" i="1" l="1"/>
  <c r="F161" i="1" s="1"/>
  <c r="E37" i="1" l="1"/>
  <c r="F37" i="1" s="1"/>
  <c r="E160" i="1" l="1"/>
  <c r="F160" i="1" s="1"/>
  <c r="E159" i="1" l="1"/>
  <c r="F159" i="1" s="1"/>
  <c r="E158" i="1" l="1"/>
  <c r="F158" i="1" s="1"/>
  <c r="E36" i="1" l="1"/>
  <c r="F36" i="1" s="1"/>
  <c r="E35" i="1"/>
  <c r="F35" i="1" s="1"/>
  <c r="E157" i="1" l="1"/>
  <c r="F157" i="1" s="1"/>
  <c r="E156" i="1" l="1"/>
  <c r="F156" i="1" l="1"/>
  <c r="E155" i="1" l="1"/>
  <c r="F155" i="1" l="1"/>
  <c r="E154" i="1" l="1"/>
  <c r="F154" i="1" l="1"/>
  <c r="E153" i="1" l="1"/>
  <c r="F153" i="1" l="1"/>
  <c r="E152" i="1" l="1"/>
  <c r="E21" i="1" l="1"/>
  <c r="F21" i="1" s="1"/>
  <c r="F152" i="1" l="1"/>
  <c r="E33" i="1" l="1"/>
  <c r="F33" i="1" s="1"/>
  <c r="E150" i="1" l="1"/>
  <c r="F150" i="1" l="1"/>
  <c r="E149" i="1" l="1"/>
  <c r="F149" i="1" l="1"/>
  <c r="E148" i="1" l="1"/>
  <c r="F148" i="1" l="1"/>
  <c r="E32" i="1" l="1"/>
  <c r="F32" i="1" s="1"/>
  <c r="E147" i="1"/>
  <c r="F147" i="1" s="1"/>
  <c r="E146" i="1" l="1"/>
  <c r="F146" i="1" l="1"/>
  <c r="E145" i="1" l="1"/>
  <c r="F145" i="1" l="1"/>
  <c r="E31" i="1" l="1"/>
  <c r="F31" i="1" s="1"/>
  <c r="E144" i="1"/>
  <c r="F144" i="1" l="1"/>
  <c r="E143" i="1" l="1"/>
  <c r="F143" i="1" l="1"/>
  <c r="E142" i="1" l="1"/>
  <c r="F142" i="1"/>
  <c r="E30" i="1" l="1"/>
  <c r="F30" i="1" s="1"/>
  <c r="E141" i="1"/>
  <c r="F141" i="1" l="1"/>
  <c r="E140" i="1" l="1"/>
  <c r="F140" i="1" l="1"/>
  <c r="E139" i="1" l="1"/>
  <c r="F139" i="1" l="1"/>
  <c r="E20" i="1" l="1"/>
  <c r="F20" i="1" s="1"/>
  <c r="E28" i="1"/>
  <c r="F28" i="1" s="1"/>
  <c r="E137" i="1" l="1"/>
  <c r="F137" i="1" s="1"/>
  <c r="E136" i="1" l="1"/>
  <c r="F136" i="1" l="1"/>
  <c r="E135" i="1" l="1"/>
  <c r="F135" i="1" l="1"/>
  <c r="E27" i="1" l="1"/>
  <c r="F27" i="1" s="1"/>
  <c r="E134" i="1" l="1"/>
  <c r="F134" i="1" l="1"/>
  <c r="E133" i="1" l="1"/>
  <c r="F133" i="1" l="1"/>
  <c r="E83" i="1"/>
  <c r="E72" i="1"/>
  <c r="F72" i="1" s="1"/>
  <c r="E19" i="1"/>
  <c r="F19" i="1" s="1"/>
  <c r="E18" i="1"/>
  <c r="F18" i="1" s="1"/>
  <c r="E17" i="1"/>
  <c r="F17" i="1" s="1"/>
  <c r="E16" i="1"/>
  <c r="F16" i="1" s="1"/>
  <c r="E132" i="1"/>
  <c r="F132" i="1" s="1"/>
  <c r="E26" i="1" l="1"/>
  <c r="F26" i="1" s="1"/>
  <c r="E131" i="1" l="1"/>
  <c r="F131" i="1" l="1"/>
  <c r="E130" i="1" l="1"/>
  <c r="F130" i="1" s="1"/>
  <c r="E113" i="1" l="1"/>
  <c r="E103" i="1"/>
  <c r="E25" i="1"/>
  <c r="C25" i="1"/>
  <c r="E111" i="1"/>
  <c r="E110" i="1"/>
  <c r="E109" i="1"/>
  <c r="E108" i="1"/>
  <c r="E107" i="1"/>
  <c r="E106" i="1"/>
  <c r="E105" i="1"/>
  <c r="E104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2" i="1"/>
  <c r="E81" i="1"/>
  <c r="E80" i="1"/>
  <c r="E79" i="1"/>
  <c r="E78" i="1"/>
  <c r="E77" i="1"/>
  <c r="E76" i="1"/>
  <c r="E75" i="1"/>
  <c r="E74" i="1"/>
  <c r="E15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114" i="1"/>
  <c r="E115" i="1"/>
  <c r="E116" i="1"/>
  <c r="E117" i="1"/>
  <c r="E118" i="1"/>
  <c r="E119" i="1"/>
  <c r="E120" i="1"/>
  <c r="E121" i="1"/>
  <c r="E122" i="1"/>
  <c r="E123" i="1"/>
  <c r="E124" i="1"/>
  <c r="E126" i="1"/>
  <c r="E127" i="1"/>
  <c r="E128" i="1"/>
  <c r="E129" i="1"/>
  <c r="F25" i="1" l="1"/>
  <c r="F129" i="1"/>
  <c r="C128" i="1" l="1"/>
  <c r="F128" i="1" l="1"/>
  <c r="C127" i="1" l="1"/>
  <c r="F127" i="1" s="1"/>
  <c r="F14" i="1" l="1"/>
  <c r="F123" i="1" l="1"/>
  <c r="F124" i="1"/>
  <c r="F126" i="1"/>
  <c r="F49" i="1" l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15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48" i="1"/>
</calcChain>
</file>

<file path=xl/sharedStrings.xml><?xml version="1.0" encoding="utf-8"?>
<sst xmlns="http://schemas.openxmlformats.org/spreadsheetml/2006/main" count="353" uniqueCount="122">
  <si>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</si>
  <si>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</si>
  <si>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</si>
  <si>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</si>
  <si>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</si>
  <si>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</si>
  <si>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</si>
  <si>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</si>
  <si>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</si>
  <si>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</si>
  <si>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</si>
  <si>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</si>
  <si>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</si>
  <si>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</si>
  <si>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</si>
  <si>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</si>
  <si>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</si>
  <si>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</si>
  <si>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</si>
  <si>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</si>
  <si>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</si>
  <si>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</si>
  <si>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</si>
  <si>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</si>
  <si>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</si>
  <si>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</si>
  <si>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</si>
  <si>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</si>
  <si>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</si>
  <si>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</si>
  <si>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</si>
  <si>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</si>
  <si>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</si>
  <si>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</si>
  <si>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</si>
  <si>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</si>
  <si>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</si>
  <si>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</si>
  <si>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</si>
  <si>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</si>
  <si>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</si>
  <si>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</si>
  <si>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</si>
  <si>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</si>
  <si>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</si>
  <si>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</si>
  <si>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</si>
  <si>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</si>
  <si>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</si>
  <si>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</si>
  <si>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</si>
  <si>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</si>
  <si>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</si>
  <si>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</si>
  <si>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</si>
  <si>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</si>
  <si>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</si>
  <si>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</si>
  <si>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</si>
  <si>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</si>
  <si>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</si>
  <si>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</si>
  <si>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</si>
  <si>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</si>
  <si>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</si>
  <si>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</si>
  <si>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</si>
  <si>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</si>
  <si>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</si>
  <si>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</si>
  <si>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</si>
  <si>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</si>
  <si>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</si>
  <si>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</si>
  <si>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</si>
  <si>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</si>
  <si>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</si>
  <si>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</si>
  <si>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</si>
  <si>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</si>
  <si>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</si>
  <si>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</si>
  <si>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</si>
  <si>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</si>
  <si>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</si>
  <si>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</si>
  <si>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</si>
  <si>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</si>
  <si>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</si>
  <si>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</si>
  <si>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</si>
  <si>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</si>
  <si>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</si>
  <si>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</si>
  <si>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</si>
  <si>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</si>
  <si>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</si>
  <si>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</si>
  <si>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</si>
  <si>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</si>
  <si>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</si>
  <si>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</si>
  <si>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</si>
  <si>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</si>
  <si>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</si>
  <si>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</si>
  <si>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</si>
  <si>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</si>
  <si>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</si>
  <si>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</si>
  <si>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</si>
  <si>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          Février</t>
  </si>
  <si>
    <t>2016 Février</t>
  </si>
  <si>
    <t>2018 Mars</t>
  </si>
  <si>
    <t xml:space="preserve">          Mars</t>
  </si>
  <si>
    <t xml:space="preserve">          Avril</t>
  </si>
  <si>
    <t>2016 Avril</t>
  </si>
  <si>
    <t xml:space="preserve">          Mai</t>
  </si>
  <si>
    <t>2016 Mai</t>
  </si>
  <si>
    <t>2016 Juin</t>
  </si>
  <si>
    <t xml:space="preserve">          Juillet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</si>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</sst>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95"/>
  <sheetViews>
    <sheetView showGridLines="0" tabSelected="1" view="pageBreakPreview" zoomScale="6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163" sqref="G163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79" bestFit="1" customWidth="1"/>
    <col min="4" max="4" width="12.88671875" style="79" customWidth="1"/>
    <col min="5" max="5" width="9.21875" style="79" customWidth="1"/>
    <col min="6" max="6" width="13.77734375" style="54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59"/>
      <c r="D1" s="59"/>
      <c r="E1" s="59"/>
      <c r="F1" s="3"/>
      <c r="G1" s="2"/>
      <c r="H1" s="2"/>
      <c r="I1" s="4"/>
    </row>
    <row r="2" spans="1:9" x14ac:dyDescent="0.2">
      <c r="A2" s="6"/>
      <c r="B2" s="7"/>
      <c r="C2" s="60"/>
      <c r="D2" s="60"/>
      <c r="E2" s="60"/>
      <c r="F2" s="8"/>
      <c r="G2" s="7"/>
      <c r="H2" s="7"/>
      <c r="I2" s="9" t="s">
        <v>100</v>
      </c>
    </row>
    <row r="3" spans="1:9" x14ac:dyDescent="0.2">
      <c r="A3" s="93" t="s">
        <v>32</v>
      </c>
      <c r="B3" s="94"/>
      <c r="C3" s="94"/>
      <c r="D3" s="94"/>
      <c r="E3" s="94"/>
      <c r="F3" s="94"/>
      <c r="G3" s="94"/>
      <c r="H3" s="94"/>
      <c r="I3" s="95"/>
    </row>
    <row r="4" spans="1:9" x14ac:dyDescent="0.2">
      <c r="A4" s="96" t="s">
        <v>28</v>
      </c>
      <c r="B4" s="97"/>
      <c r="C4" s="97"/>
      <c r="D4" s="97"/>
      <c r="E4" s="97"/>
      <c r="F4" s="97"/>
      <c r="G4" s="97"/>
      <c r="H4" s="97"/>
      <c r="I4" s="98"/>
    </row>
    <row r="5" spans="1:9" ht="17.25" customHeight="1" x14ac:dyDescent="0.2">
      <c r="A5" s="10"/>
      <c r="B5" s="11"/>
      <c r="C5" s="61"/>
      <c r="D5" s="61"/>
      <c r="E5" s="62"/>
      <c r="F5" s="12"/>
      <c r="G5" s="11"/>
      <c r="H5" s="11"/>
      <c r="I5" s="13"/>
    </row>
    <row r="6" spans="1:9" x14ac:dyDescent="0.2">
      <c r="A6" s="14"/>
      <c r="B6" s="15"/>
      <c r="C6" s="63"/>
      <c r="D6" s="64"/>
      <c r="E6" s="65"/>
      <c r="F6" s="16"/>
      <c r="G6" s="15"/>
      <c r="H6" s="15"/>
      <c r="I6" s="15"/>
    </row>
    <row r="7" spans="1:9" x14ac:dyDescent="0.2">
      <c r="A7" s="92" t="s">
        <v>94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2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2"/>
      <c r="B9" s="18" t="s">
        <v>7</v>
      </c>
      <c r="C9" s="66"/>
      <c r="D9" s="67"/>
      <c r="E9" s="68"/>
      <c r="F9" s="24"/>
      <c r="G9" s="18" t="s">
        <v>26</v>
      </c>
      <c r="H9" s="25"/>
      <c r="I9" s="23"/>
    </row>
    <row r="10" spans="1:9" x14ac:dyDescent="0.2">
      <c r="A10" s="92" t="s">
        <v>12</v>
      </c>
      <c r="B10" s="23"/>
      <c r="C10" s="66"/>
      <c r="D10" s="69"/>
      <c r="E10" s="70"/>
      <c r="F10" s="26"/>
      <c r="G10" s="23"/>
      <c r="H10" s="25"/>
      <c r="I10" s="23"/>
    </row>
    <row r="11" spans="1:9" x14ac:dyDescent="0.2">
      <c r="A11" s="17"/>
      <c r="B11" s="23"/>
      <c r="C11" s="66"/>
      <c r="D11" s="69"/>
      <c r="E11" s="71"/>
      <c r="F11" s="26"/>
      <c r="G11" s="23"/>
      <c r="H11" s="23"/>
      <c r="I11" s="23"/>
    </row>
    <row r="12" spans="1:9" x14ac:dyDescent="0.2">
      <c r="A12" s="27"/>
      <c r="B12" s="28"/>
      <c r="C12" s="62"/>
      <c r="D12" s="72"/>
      <c r="E12" s="73"/>
      <c r="F12" s="12"/>
      <c r="G12" s="29"/>
      <c r="H12" s="29"/>
      <c r="I12" s="29"/>
    </row>
    <row r="13" spans="1:9" x14ac:dyDescent="0.2">
      <c r="A13" s="30"/>
      <c r="B13" s="31"/>
      <c r="C13" s="74"/>
      <c r="D13" s="74"/>
      <c r="E13" s="75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0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1">
        <v>26092.9</v>
      </c>
    </row>
    <row r="15" spans="1:9" hidden="1" x14ac:dyDescent="0.2">
      <c r="A15" s="38" t="s">
        <v>43</v>
      </c>
      <c r="B15" s="42">
        <v>-136206.20000000001</v>
      </c>
      <c r="C15" s="40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1">
        <v>54905.2</v>
      </c>
    </row>
    <row r="16" spans="1:9" hidden="1" x14ac:dyDescent="0.2">
      <c r="A16" s="38" t="s">
        <v>44</v>
      </c>
      <c r="B16" s="42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4" si="1">B16+C16+D16+E16</f>
        <v>55878.499999999942</v>
      </c>
      <c r="G16" s="39" t="s">
        <v>20</v>
      </c>
      <c r="H16" s="39">
        <v>7000</v>
      </c>
      <c r="I16" s="41">
        <v>48878.5</v>
      </c>
    </row>
    <row r="17" spans="1:9" hidden="1" x14ac:dyDescent="0.2">
      <c r="A17" s="38" t="s">
        <v>45</v>
      </c>
      <c r="B17" s="42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1">
        <v>35257.700000000004</v>
      </c>
    </row>
    <row r="18" spans="1:9" hidden="1" x14ac:dyDescent="0.2">
      <c r="A18" s="38" t="s">
        <v>46</v>
      </c>
      <c r="B18" s="42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1">
        <v>42707.4</v>
      </c>
    </row>
    <row r="19" spans="1:9" x14ac:dyDescent="0.2">
      <c r="A19" s="38" t="s">
        <v>47</v>
      </c>
      <c r="B19" s="42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1">
        <v>85384.8</v>
      </c>
    </row>
    <row r="20" spans="1:9" x14ac:dyDescent="0.2">
      <c r="A20" s="38" t="s">
        <v>55</v>
      </c>
      <c r="B20" s="42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1">
        <v>121720.1</v>
      </c>
    </row>
    <row r="21" spans="1:9" x14ac:dyDescent="0.2">
      <c r="A21" s="38" t="s">
        <v>84</v>
      </c>
      <c r="B21" s="42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1">
        <v>86560.5</v>
      </c>
    </row>
    <row r="22" spans="1:9" s="83" customFormat="1" x14ac:dyDescent="0.2">
      <c r="A22" s="38" t="s">
        <v>96</v>
      </c>
      <c r="B22" s="90">
        <v>-267512.5</v>
      </c>
      <c r="C22" s="87">
        <v>-162073.79999999999</v>
      </c>
      <c r="D22" s="87">
        <v>509226.2</v>
      </c>
      <c r="E22" s="84">
        <f>-6489.8-24271.6</f>
        <v>-30761.399999999998</v>
      </c>
      <c r="F22" s="86">
        <f t="shared" si="1"/>
        <v>48878.500000000029</v>
      </c>
      <c r="G22" s="88">
        <v>89000</v>
      </c>
      <c r="H22" s="88" t="s">
        <v>20</v>
      </c>
      <c r="I22" s="89">
        <v>137878.5</v>
      </c>
    </row>
    <row r="23" spans="1:9" s="83" customFormat="1" hidden="1" x14ac:dyDescent="0.2">
      <c r="A23" s="38" t="s">
        <v>108</v>
      </c>
      <c r="B23" s="90">
        <v>-308146.5</v>
      </c>
      <c r="C23" s="87">
        <v>-139165.79999999999</v>
      </c>
      <c r="D23" s="87">
        <v>530450.5</v>
      </c>
      <c r="E23" s="84">
        <f>-18055.6-1737.2</f>
        <v>-19792.8</v>
      </c>
      <c r="F23" s="86">
        <f t="shared" si="1"/>
        <v>63345.400000000009</v>
      </c>
      <c r="G23" s="88">
        <v>159990</v>
      </c>
      <c r="H23" s="88" t="s">
        <v>20</v>
      </c>
      <c r="I23" s="89">
        <v>223335.4</v>
      </c>
    </row>
    <row r="24" spans="1:9" x14ac:dyDescent="0.2">
      <c r="A24" s="38" t="s">
        <v>108</v>
      </c>
      <c r="B24" s="90">
        <v>-308146.3</v>
      </c>
      <c r="C24" s="87">
        <v>-144480.4</v>
      </c>
      <c r="D24" s="87">
        <v>528460.39999999991</v>
      </c>
      <c r="E24" s="84">
        <v>-12488.399999999958</v>
      </c>
      <c r="F24" s="86">
        <f t="shared" si="1"/>
        <v>63345.299999999996</v>
      </c>
      <c r="G24" s="88">
        <v>159990</v>
      </c>
      <c r="H24" s="88" t="s">
        <v>20</v>
      </c>
      <c r="I24" s="89">
        <v>223335.3</v>
      </c>
    </row>
    <row r="25" spans="1:9" hidden="1" x14ac:dyDescent="0.2">
      <c r="A25" s="35" t="s">
        <v>59</v>
      </c>
      <c r="B25" s="42">
        <v>-201300.8</v>
      </c>
      <c r="C25" s="37">
        <f>93820.2+1198.4</f>
        <v>95018.599999999991</v>
      </c>
      <c r="D25" s="37">
        <v>243395.1</v>
      </c>
      <c r="E25" s="32">
        <f>-39099-1021.5</f>
        <v>-40120.5</v>
      </c>
      <c r="F25" s="36">
        <f t="shared" ref="F25:F28" si="2">B25+C25+D25+E25</f>
        <v>96992.400000000023</v>
      </c>
      <c r="G25" s="39">
        <v>2239.9</v>
      </c>
      <c r="H25" s="39">
        <v>27200</v>
      </c>
      <c r="I25" s="41">
        <v>72032.3</v>
      </c>
    </row>
    <row r="26" spans="1:9" hidden="1" x14ac:dyDescent="0.2">
      <c r="A26" s="35" t="s">
        <v>58</v>
      </c>
      <c r="B26" s="42">
        <v>-223781.8</v>
      </c>
      <c r="C26" s="37">
        <v>89071.5</v>
      </c>
      <c r="D26" s="37">
        <v>282645.40000000002</v>
      </c>
      <c r="E26" s="32">
        <f>-41531.4-6365</f>
        <v>-47896.4</v>
      </c>
      <c r="F26" s="36">
        <f t="shared" si="2"/>
        <v>100038.70000000004</v>
      </c>
      <c r="G26" s="39">
        <v>1914.8</v>
      </c>
      <c r="H26" s="39" t="s">
        <v>20</v>
      </c>
      <c r="I26" s="41">
        <v>101953.5</v>
      </c>
    </row>
    <row r="27" spans="1:9" hidden="1" x14ac:dyDescent="0.2">
      <c r="A27" s="35" t="s">
        <v>91</v>
      </c>
      <c r="B27" s="42">
        <v>-222708</v>
      </c>
      <c r="C27" s="37">
        <v>142837.29999999999</v>
      </c>
      <c r="D27" s="37">
        <v>195393.9</v>
      </c>
      <c r="E27" s="32">
        <f>-32430.9-2133.6</f>
        <v>-34564.5</v>
      </c>
      <c r="F27" s="36">
        <f t="shared" si="2"/>
        <v>80958.699999999983</v>
      </c>
      <c r="G27" s="39">
        <v>2231.9</v>
      </c>
      <c r="H27" s="39" t="s">
        <v>20</v>
      </c>
      <c r="I27" s="41">
        <v>83190.600000000006</v>
      </c>
    </row>
    <row r="28" spans="1:9" hidden="1" x14ac:dyDescent="0.2">
      <c r="A28" s="35" t="s">
        <v>95</v>
      </c>
      <c r="B28" s="42">
        <v>-227340.9</v>
      </c>
      <c r="C28" s="37">
        <v>128675.9</v>
      </c>
      <c r="D28" s="37">
        <v>263591.09999999998</v>
      </c>
      <c r="E28" s="32">
        <f>-41670.1-3535.9</f>
        <v>-45206</v>
      </c>
      <c r="F28" s="36">
        <f t="shared" si="2"/>
        <v>119720.09999999998</v>
      </c>
      <c r="G28" s="39">
        <v>2000</v>
      </c>
      <c r="H28" s="39" t="s">
        <v>20</v>
      </c>
      <c r="I28" s="41">
        <v>121720.1</v>
      </c>
    </row>
    <row r="29" spans="1:9" s="83" customFormat="1" x14ac:dyDescent="0.2">
      <c r="A29" s="85"/>
      <c r="B29" s="84"/>
      <c r="C29" s="87"/>
      <c r="D29" s="87"/>
      <c r="E29" s="84"/>
      <c r="F29" s="86"/>
      <c r="G29" s="88"/>
      <c r="H29" s="88"/>
      <c r="I29" s="89"/>
    </row>
    <row r="30" spans="1:9" x14ac:dyDescent="0.2">
      <c r="A30" s="35" t="s">
        <v>60</v>
      </c>
      <c r="B30" s="42">
        <v>-223176.6</v>
      </c>
      <c r="C30" s="37">
        <v>115526.39999999999</v>
      </c>
      <c r="D30" s="37">
        <v>215693.9</v>
      </c>
      <c r="E30" s="32">
        <f>-33506.9-4069.8</f>
        <v>-37576.700000000004</v>
      </c>
      <c r="F30" s="36">
        <f t="shared" ref="F30:F33" si="3">B30+C30+D30+E30</f>
        <v>70466.999999999971</v>
      </c>
      <c r="G30" s="39">
        <v>3178.9</v>
      </c>
      <c r="H30" s="39" t="s">
        <v>20</v>
      </c>
      <c r="I30" s="41">
        <v>73645.899999999994</v>
      </c>
    </row>
    <row r="31" spans="1:9" x14ac:dyDescent="0.2">
      <c r="A31" s="35" t="s">
        <v>67</v>
      </c>
      <c r="B31" s="42">
        <v>-254961.4</v>
      </c>
      <c r="C31" s="37">
        <v>11927.5</v>
      </c>
      <c r="D31" s="37">
        <v>318199.59999999998</v>
      </c>
      <c r="E31" s="32">
        <f>-27843.4-3620.6</f>
        <v>-31464</v>
      </c>
      <c r="F31" s="36">
        <f t="shared" si="3"/>
        <v>43701.699999999983</v>
      </c>
      <c r="G31" s="39">
        <v>22000</v>
      </c>
      <c r="H31" s="39" t="s">
        <v>20</v>
      </c>
      <c r="I31" s="41">
        <v>65701.7</v>
      </c>
    </row>
    <row r="32" spans="1:9" x14ac:dyDescent="0.2">
      <c r="A32" s="35" t="s">
        <v>70</v>
      </c>
      <c r="B32" s="42">
        <v>-216072.1</v>
      </c>
      <c r="C32" s="37">
        <v>-77050.100000000006</v>
      </c>
      <c r="D32" s="37">
        <v>398227.1</v>
      </c>
      <c r="E32" s="32">
        <f>-19780.1-8638</f>
        <v>-28418.1</v>
      </c>
      <c r="F32" s="36">
        <f t="shared" si="3"/>
        <v>76686.799999999959</v>
      </c>
      <c r="G32" s="39">
        <v>6840.3</v>
      </c>
      <c r="H32" s="39" t="s">
        <v>20</v>
      </c>
      <c r="I32" s="41">
        <v>83527.100000000006</v>
      </c>
    </row>
    <row r="33" spans="1:9" x14ac:dyDescent="0.2">
      <c r="A33" s="35" t="s">
        <v>73</v>
      </c>
      <c r="B33" s="42">
        <v>-230723.7</v>
      </c>
      <c r="C33" s="37">
        <v>-132985.60000000001</v>
      </c>
      <c r="D33" s="37">
        <v>452581.6</v>
      </c>
      <c r="E33" s="32">
        <f>-19763.3-4348.5</f>
        <v>-24111.8</v>
      </c>
      <c r="F33" s="36">
        <f t="shared" si="3"/>
        <v>64760.499999999927</v>
      </c>
      <c r="G33" s="39">
        <v>21800</v>
      </c>
      <c r="H33" s="39" t="s">
        <v>20</v>
      </c>
      <c r="I33" s="41">
        <v>86560.5</v>
      </c>
    </row>
    <row r="34" spans="1:9" x14ac:dyDescent="0.2">
      <c r="A34" s="35"/>
      <c r="B34" s="32"/>
      <c r="C34" s="37"/>
      <c r="D34" s="37"/>
      <c r="E34" s="32"/>
      <c r="F34" s="36"/>
      <c r="G34" s="39"/>
      <c r="H34" s="39"/>
      <c r="I34" s="41"/>
    </row>
    <row r="35" spans="1:9" s="83" customFormat="1" x14ac:dyDescent="0.2">
      <c r="A35" s="85" t="s">
        <v>86</v>
      </c>
      <c r="B35" s="90">
        <v>-219964.2</v>
      </c>
      <c r="C35" s="87">
        <v>-194954</v>
      </c>
      <c r="D35" s="87">
        <v>453694.6</v>
      </c>
      <c r="E35" s="84">
        <f>-12796-2793.9</f>
        <v>-15589.9</v>
      </c>
      <c r="F35" s="86">
        <f t="shared" ref="F35:F36" si="4">B35+C35+D35+E35</f>
        <v>23186.499999999964</v>
      </c>
      <c r="G35" s="88">
        <v>73850</v>
      </c>
      <c r="H35" s="88" t="s">
        <v>20</v>
      </c>
      <c r="I35" s="89">
        <v>97036.5</v>
      </c>
    </row>
    <row r="36" spans="1:9" s="83" customFormat="1" x14ac:dyDescent="0.2">
      <c r="A36" s="85" t="s">
        <v>67</v>
      </c>
      <c r="B36" s="90">
        <v>-255415.5</v>
      </c>
      <c r="C36" s="87">
        <v>-186003.4</v>
      </c>
      <c r="D36" s="87">
        <v>457106.4</v>
      </c>
      <c r="E36" s="84">
        <f>-4287.5-13814.7</f>
        <v>-18102.2</v>
      </c>
      <c r="F36" s="86">
        <f t="shared" si="4"/>
        <v>-2414.7000000000007</v>
      </c>
      <c r="G36" s="88">
        <v>103000</v>
      </c>
      <c r="H36" s="88" t="s">
        <v>20</v>
      </c>
      <c r="I36" s="89">
        <v>100585.3</v>
      </c>
    </row>
    <row r="37" spans="1:9" s="83" customFormat="1" x14ac:dyDescent="0.2">
      <c r="A37" s="85" t="s">
        <v>70</v>
      </c>
      <c r="B37" s="90">
        <v>-254499.1</v>
      </c>
      <c r="C37" s="87">
        <v>-181601</v>
      </c>
      <c r="D37" s="87">
        <v>457923.6</v>
      </c>
      <c r="E37" s="84">
        <f>-4906.1-9322.9</f>
        <v>-14229</v>
      </c>
      <c r="F37" s="86">
        <f>B37+C37+D37+E37</f>
        <v>7594.5</v>
      </c>
      <c r="G37" s="88">
        <v>120705</v>
      </c>
      <c r="H37" s="88" t="s">
        <v>20</v>
      </c>
      <c r="I37" s="89">
        <v>128299.5</v>
      </c>
    </row>
    <row r="38" spans="1:9" s="83" customFormat="1" x14ac:dyDescent="0.2">
      <c r="A38" s="85" t="s">
        <v>73</v>
      </c>
      <c r="B38" s="90">
        <v>-267512.5</v>
      </c>
      <c r="C38" s="87">
        <v>-162073.79999999999</v>
      </c>
      <c r="D38" s="87">
        <v>509226.2</v>
      </c>
      <c r="E38" s="84">
        <f>-6489.8-24271.6</f>
        <v>-30761.399999999998</v>
      </c>
      <c r="F38" s="86">
        <f>B38+C38+D38+E38</f>
        <v>48878.500000000029</v>
      </c>
      <c r="G38" s="88">
        <v>89000</v>
      </c>
      <c r="H38" s="88" t="s">
        <v>20</v>
      </c>
      <c r="I38" s="89">
        <v>137878.5</v>
      </c>
    </row>
    <row r="39" spans="1:9" s="83" customFormat="1" x14ac:dyDescent="0.2">
      <c r="A39" s="85"/>
      <c r="B39" s="90"/>
      <c r="C39" s="87"/>
      <c r="D39" s="87"/>
      <c r="E39" s="84"/>
      <c r="F39" s="86"/>
      <c r="G39" s="88"/>
      <c r="H39" s="88"/>
      <c r="I39" s="89"/>
    </row>
    <row r="40" spans="1:9" s="83" customFormat="1" x14ac:dyDescent="0.2">
      <c r="A40" s="85" t="s">
        <v>99</v>
      </c>
      <c r="B40" s="90">
        <v>-267562.40000000002</v>
      </c>
      <c r="C40" s="87">
        <v>-133135.90000000002</v>
      </c>
      <c r="D40" s="87">
        <v>544205.1</v>
      </c>
      <c r="E40" s="84">
        <v>-62097.699999999968</v>
      </c>
      <c r="F40" s="86">
        <v>81409.099999999962</v>
      </c>
      <c r="G40" s="88">
        <v>88840</v>
      </c>
      <c r="H40" s="88" t="s">
        <v>20</v>
      </c>
      <c r="I40" s="89">
        <v>170257.3</v>
      </c>
    </row>
    <row r="41" spans="1:9" s="83" customFormat="1" x14ac:dyDescent="0.2">
      <c r="A41" s="85" t="s">
        <v>67</v>
      </c>
      <c r="B41" s="90">
        <v>-301775.5</v>
      </c>
      <c r="C41" s="87">
        <v>-140476.99999999997</v>
      </c>
      <c r="D41" s="87">
        <v>542983.60000000009</v>
      </c>
      <c r="E41" s="84">
        <v>-66884.000000000015</v>
      </c>
      <c r="F41" s="86">
        <v>33847.100000000079</v>
      </c>
      <c r="G41" s="88">
        <v>70737.5</v>
      </c>
      <c r="H41" s="88" t="s">
        <v>20</v>
      </c>
      <c r="I41" s="89">
        <v>104584.6</v>
      </c>
    </row>
    <row r="42" spans="1:9" s="83" customFormat="1" x14ac:dyDescent="0.2">
      <c r="A42" s="85" t="s">
        <v>70</v>
      </c>
      <c r="B42" s="90">
        <v>-297683.09999999998</v>
      </c>
      <c r="C42" s="87">
        <v>-134023.79999999999</v>
      </c>
      <c r="D42" s="87">
        <v>509123.6</v>
      </c>
      <c r="E42" s="84">
        <v>-41688.6</v>
      </c>
      <c r="F42" s="86">
        <v>35728.100000000013</v>
      </c>
      <c r="G42" s="88">
        <v>123150</v>
      </c>
      <c r="H42" s="88" t="s">
        <v>20</v>
      </c>
      <c r="I42" s="89">
        <v>158878.1</v>
      </c>
    </row>
    <row r="43" spans="1:9" s="83" customFormat="1" x14ac:dyDescent="0.2">
      <c r="A43" s="85" t="s">
        <v>73</v>
      </c>
      <c r="B43" s="90">
        <v>-308146.3</v>
      </c>
      <c r="C43" s="87">
        <v>-144480.4</v>
      </c>
      <c r="D43" s="87">
        <v>528460.39999999991</v>
      </c>
      <c r="E43" s="84">
        <v>-12488.399999999958</v>
      </c>
      <c r="F43" s="86">
        <f t="shared" ref="F43" si="5">B43+C43+D43+E43</f>
        <v>63345.299999999996</v>
      </c>
      <c r="G43" s="88">
        <v>159990</v>
      </c>
      <c r="H43" s="88" t="s">
        <v>20</v>
      </c>
      <c r="I43" s="89">
        <v>223335.3</v>
      </c>
    </row>
    <row r="44" spans="1:9" s="83" customFormat="1" x14ac:dyDescent="0.2">
      <c r="A44" s="85"/>
      <c r="B44" s="84"/>
      <c r="C44" s="87"/>
      <c r="D44" s="87"/>
      <c r="E44" s="84"/>
      <c r="F44" s="86"/>
      <c r="G44" s="88"/>
      <c r="H44" s="88"/>
      <c r="I44" s="89"/>
    </row>
    <row r="45" spans="1:9" s="83" customFormat="1" x14ac:dyDescent="0.2">
      <c r="A45" s="85" t="s">
        <v>113</v>
      </c>
      <c r="B45" s="90">
        <v>-302042.8</v>
      </c>
      <c r="C45" s="87">
        <v>-180504.6</v>
      </c>
      <c r="D45" s="87">
        <v>484199.3</v>
      </c>
      <c r="E45" s="84">
        <v>-33650.400000000023</v>
      </c>
      <c r="F45" s="86">
        <v>-31998.500000000058</v>
      </c>
      <c r="G45" s="88">
        <v>185103.2</v>
      </c>
      <c r="H45" s="88" t="s">
        <v>20</v>
      </c>
      <c r="I45" s="89">
        <v>153104.70000000001</v>
      </c>
    </row>
    <row r="46" spans="1:9" s="83" customFormat="1" x14ac:dyDescent="0.2">
      <c r="A46" s="85" t="s">
        <v>58</v>
      </c>
      <c r="B46" s="90">
        <v>-334282.7</v>
      </c>
      <c r="C46" s="87">
        <v>-175279.09999999998</v>
      </c>
      <c r="D46" s="87">
        <v>408472.6</v>
      </c>
      <c r="E46" s="84">
        <v>-18794.399999999994</v>
      </c>
      <c r="F46" s="86">
        <v>-119883.6</v>
      </c>
      <c r="G46" s="88">
        <v>283075.3</v>
      </c>
      <c r="H46" s="88" t="s">
        <v>20</v>
      </c>
      <c r="I46" s="89">
        <v>163191.69999999998</v>
      </c>
    </row>
    <row r="47" spans="1:9" s="83" customFormat="1" x14ac:dyDescent="0.2">
      <c r="A47" s="85"/>
      <c r="B47" s="84"/>
      <c r="C47" s="87"/>
      <c r="D47" s="87"/>
      <c r="E47" s="84"/>
      <c r="F47" s="86"/>
      <c r="G47" s="88"/>
      <c r="H47" s="88"/>
      <c r="I47" s="89"/>
    </row>
    <row r="48" spans="1:9" hidden="1" x14ac:dyDescent="0.2">
      <c r="A48" s="35" t="s">
        <v>21</v>
      </c>
      <c r="B48" s="32">
        <v>-87847.1</v>
      </c>
      <c r="C48" s="37">
        <v>71000.099999999977</v>
      </c>
      <c r="D48" s="37">
        <v>95478.1</v>
      </c>
      <c r="E48" s="32">
        <f>-57053.2-1514</f>
        <v>-58567.199999999997</v>
      </c>
      <c r="F48" s="36">
        <f t="shared" ref="F48:F116" si="6">B48+C48+D48+E48</f>
        <v>20063.89999999998</v>
      </c>
      <c r="G48" s="39">
        <v>1804</v>
      </c>
      <c r="H48" s="39" t="s">
        <v>20</v>
      </c>
      <c r="I48" s="41">
        <v>21867.9</v>
      </c>
    </row>
    <row r="49" spans="1:9" hidden="1" x14ac:dyDescent="0.2">
      <c r="A49" s="35" t="s">
        <v>41</v>
      </c>
      <c r="B49" s="32">
        <v>-88984.4</v>
      </c>
      <c r="C49" s="37">
        <v>62812.299999999988</v>
      </c>
      <c r="D49" s="37">
        <v>105260.5</v>
      </c>
      <c r="E49" s="32">
        <f>-57145.9-1140.9</f>
        <v>-58286.8</v>
      </c>
      <c r="F49" s="36">
        <f t="shared" si="6"/>
        <v>20801.599999999991</v>
      </c>
      <c r="G49" s="39">
        <v>1000</v>
      </c>
      <c r="H49" s="39" t="s">
        <v>20</v>
      </c>
      <c r="I49" s="41">
        <v>21801.599999999999</v>
      </c>
    </row>
    <row r="50" spans="1:9" hidden="1" x14ac:dyDescent="0.2">
      <c r="A50" s="35" t="s">
        <v>42</v>
      </c>
      <c r="B50" s="32">
        <v>-89739.6</v>
      </c>
      <c r="C50" s="37">
        <v>60403.499999999971</v>
      </c>
      <c r="D50" s="37">
        <v>107776.5</v>
      </c>
      <c r="E50" s="32">
        <f>-49748-1839.4</f>
        <v>-51587.4</v>
      </c>
      <c r="F50" s="36">
        <f t="shared" si="6"/>
        <v>26852.999999999964</v>
      </c>
      <c r="G50" s="39">
        <v>1000</v>
      </c>
      <c r="H50" s="39">
        <v>3000</v>
      </c>
      <c r="I50" s="41">
        <v>24853.000000000004</v>
      </c>
    </row>
    <row r="51" spans="1:9" hidden="1" x14ac:dyDescent="0.2">
      <c r="A51" s="35" t="s">
        <v>16</v>
      </c>
      <c r="B51" s="32">
        <v>-98410.2</v>
      </c>
      <c r="C51" s="37">
        <v>65629.399999999994</v>
      </c>
      <c r="D51" s="37">
        <v>106043.3</v>
      </c>
      <c r="E51" s="32">
        <f>-47675.2-2373.2</f>
        <v>-50048.399999999994</v>
      </c>
      <c r="F51" s="36">
        <f t="shared" si="6"/>
        <v>23214.100000000006</v>
      </c>
      <c r="G51" s="39">
        <v>1000</v>
      </c>
      <c r="H51" s="39" t="s">
        <v>20</v>
      </c>
      <c r="I51" s="41">
        <v>24214.1</v>
      </c>
    </row>
    <row r="52" spans="1:9" hidden="1" x14ac:dyDescent="0.2">
      <c r="A52" s="35" t="s">
        <v>17</v>
      </c>
      <c r="B52" s="32">
        <v>-98766.6</v>
      </c>
      <c r="C52" s="37">
        <v>61488</v>
      </c>
      <c r="D52" s="37">
        <v>117096</v>
      </c>
      <c r="E52" s="32">
        <f>-48579.1-1650.4</f>
        <v>-50229.5</v>
      </c>
      <c r="F52" s="36">
        <f t="shared" si="6"/>
        <v>29587.899999999994</v>
      </c>
      <c r="G52" s="39" t="s">
        <v>20</v>
      </c>
      <c r="H52" s="39">
        <v>5000</v>
      </c>
      <c r="I52" s="41">
        <v>24587.899999999998</v>
      </c>
    </row>
    <row r="53" spans="1:9" hidden="1" x14ac:dyDescent="0.2">
      <c r="A53" s="35" t="s">
        <v>9</v>
      </c>
      <c r="B53" s="32">
        <v>-109147.9</v>
      </c>
      <c r="C53" s="40">
        <v>56309.5</v>
      </c>
      <c r="D53" s="37">
        <v>126345.1</v>
      </c>
      <c r="E53" s="32">
        <f>-50334.5-4262.3</f>
        <v>-54596.800000000003</v>
      </c>
      <c r="F53" s="36">
        <f t="shared" si="6"/>
        <v>18909.900000000009</v>
      </c>
      <c r="G53" s="39">
        <v>1474.9</v>
      </c>
      <c r="H53" s="39" t="s">
        <v>20</v>
      </c>
      <c r="I53" s="41">
        <v>20384.800000000003</v>
      </c>
    </row>
    <row r="54" spans="1:9" hidden="1" x14ac:dyDescent="0.2">
      <c r="A54" s="35" t="s">
        <v>14</v>
      </c>
      <c r="B54" s="32">
        <v>-121800.8</v>
      </c>
      <c r="C54" s="40">
        <v>70144.199999999953</v>
      </c>
      <c r="D54" s="37">
        <v>122388.5</v>
      </c>
      <c r="E54" s="32">
        <f>-49157.1-1527.7</f>
        <v>-50684.799999999996</v>
      </c>
      <c r="F54" s="36">
        <f t="shared" si="6"/>
        <v>20047.099999999955</v>
      </c>
      <c r="G54" s="39">
        <v>3006.3</v>
      </c>
      <c r="H54" s="39" t="s">
        <v>20</v>
      </c>
      <c r="I54" s="41">
        <v>23053.399999999998</v>
      </c>
    </row>
    <row r="55" spans="1:9" hidden="1" x14ac:dyDescent="0.2">
      <c r="A55" s="35" t="s">
        <v>15</v>
      </c>
      <c r="B55" s="32">
        <v>-121398.7</v>
      </c>
      <c r="C55" s="40">
        <v>79117.5</v>
      </c>
      <c r="D55" s="37">
        <v>105645.6</v>
      </c>
      <c r="E55" s="32">
        <f>-49615.4-1173.7</f>
        <v>-50789.1</v>
      </c>
      <c r="F55" s="36">
        <f t="shared" si="6"/>
        <v>12575.30000000001</v>
      </c>
      <c r="G55" s="39">
        <v>6000</v>
      </c>
      <c r="H55" s="39" t="s">
        <v>20</v>
      </c>
      <c r="I55" s="41">
        <v>18575.300000000003</v>
      </c>
    </row>
    <row r="56" spans="1:9" hidden="1" x14ac:dyDescent="0.2">
      <c r="A56" s="35" t="s">
        <v>11</v>
      </c>
      <c r="B56" s="32">
        <v>-123002.6</v>
      </c>
      <c r="C56" s="40">
        <v>75833.299999999988</v>
      </c>
      <c r="D56" s="37">
        <v>107112.1</v>
      </c>
      <c r="E56" s="32">
        <f>-49550.2-2275</f>
        <v>-51825.2</v>
      </c>
      <c r="F56" s="36">
        <f t="shared" si="6"/>
        <v>8117.5999999999913</v>
      </c>
      <c r="G56" s="39">
        <v>10622.1</v>
      </c>
      <c r="H56" s="39" t="s">
        <v>20</v>
      </c>
      <c r="I56" s="41">
        <v>18739.699999999997</v>
      </c>
    </row>
    <row r="57" spans="1:9" hidden="1" x14ac:dyDescent="0.2">
      <c r="A57" s="35" t="s">
        <v>18</v>
      </c>
      <c r="B57" s="32">
        <v>-118622.6</v>
      </c>
      <c r="C57" s="40">
        <v>95303.6</v>
      </c>
      <c r="D57" s="37">
        <v>94508.800000000003</v>
      </c>
      <c r="E57" s="32">
        <f>-50723.1-1826.5</f>
        <v>-52549.599999999999</v>
      </c>
      <c r="F57" s="36">
        <f t="shared" si="6"/>
        <v>18640.200000000004</v>
      </c>
      <c r="G57" s="39">
        <v>5355.8</v>
      </c>
      <c r="H57" s="39" t="s">
        <v>20</v>
      </c>
      <c r="I57" s="41">
        <v>23996</v>
      </c>
    </row>
    <row r="58" spans="1:9" hidden="1" x14ac:dyDescent="0.2">
      <c r="A58" s="35" t="s">
        <v>19</v>
      </c>
      <c r="B58" s="32">
        <v>-116373.1</v>
      </c>
      <c r="C58" s="40">
        <v>107336.39999999994</v>
      </c>
      <c r="D58" s="37">
        <v>77336.899999999994</v>
      </c>
      <c r="E58" s="32">
        <f>-50424.3-1029.3</f>
        <v>-51453.600000000006</v>
      </c>
      <c r="F58" s="36">
        <f t="shared" si="6"/>
        <v>16846.599999999919</v>
      </c>
      <c r="G58" s="39">
        <v>5508.8</v>
      </c>
      <c r="H58" s="39">
        <v>1500</v>
      </c>
      <c r="I58" s="41">
        <v>20855.400000000001</v>
      </c>
    </row>
    <row r="59" spans="1:9" hidden="1" x14ac:dyDescent="0.2">
      <c r="A59" s="35" t="s">
        <v>10</v>
      </c>
      <c r="B59" s="32">
        <v>-124230.9</v>
      </c>
      <c r="C59" s="40">
        <v>159092.20000000007</v>
      </c>
      <c r="D59" s="37">
        <v>76990.5</v>
      </c>
      <c r="E59" s="32">
        <f>-69256.7-4502.2</f>
        <v>-73758.899999999994</v>
      </c>
      <c r="F59" s="36">
        <f t="shared" si="6"/>
        <v>38092.900000000081</v>
      </c>
      <c r="G59" s="39" t="s">
        <v>20</v>
      </c>
      <c r="H59" s="39">
        <v>12000</v>
      </c>
      <c r="I59" s="41">
        <v>26092.9</v>
      </c>
    </row>
    <row r="60" spans="1:9" hidden="1" x14ac:dyDescent="0.2">
      <c r="A60" s="35"/>
      <c r="B60" s="32"/>
      <c r="C60" s="40"/>
      <c r="D60" s="37"/>
      <c r="E60" s="32"/>
      <c r="F60" s="36"/>
      <c r="G60" s="39"/>
      <c r="H60" s="39"/>
      <c r="I60" s="41"/>
    </row>
    <row r="61" spans="1:9" hidden="1" x14ac:dyDescent="0.2">
      <c r="A61" s="35" t="s">
        <v>23</v>
      </c>
      <c r="B61" s="32">
        <v>-114706.9</v>
      </c>
      <c r="C61" s="40">
        <v>141369.9</v>
      </c>
      <c r="D61" s="37">
        <v>72031.8</v>
      </c>
      <c r="E61" s="32">
        <f>-50019.9-1664.5</f>
        <v>-51684.4</v>
      </c>
      <c r="F61" s="36">
        <f t="shared" si="6"/>
        <v>47010.400000000001</v>
      </c>
      <c r="G61" s="39" t="s">
        <v>20</v>
      </c>
      <c r="H61" s="39">
        <v>15000</v>
      </c>
      <c r="I61" s="41">
        <v>32010.400000000001</v>
      </c>
    </row>
    <row r="62" spans="1:9" hidden="1" x14ac:dyDescent="0.2">
      <c r="A62" s="35" t="s">
        <v>41</v>
      </c>
      <c r="B62" s="32">
        <v>-113068.7</v>
      </c>
      <c r="C62" s="40">
        <v>125265.90000000008</v>
      </c>
      <c r="D62" s="37">
        <v>81053</v>
      </c>
      <c r="E62" s="32">
        <f>-53404.9-1507.2</f>
        <v>-54912.1</v>
      </c>
      <c r="F62" s="36">
        <f t="shared" si="6"/>
        <v>38338.100000000086</v>
      </c>
      <c r="G62" s="39" t="s">
        <v>20</v>
      </c>
      <c r="H62" s="39">
        <v>10000</v>
      </c>
      <c r="I62" s="41">
        <v>28338.1</v>
      </c>
    </row>
    <row r="63" spans="1:9" hidden="1" x14ac:dyDescent="0.2">
      <c r="A63" s="35" t="s">
        <v>42</v>
      </c>
      <c r="B63" s="32">
        <v>-112651.3</v>
      </c>
      <c r="C63" s="40">
        <v>105784.5</v>
      </c>
      <c r="D63" s="37">
        <v>86813.2</v>
      </c>
      <c r="E63" s="32">
        <f>-47074.1-1841.9</f>
        <v>-48916</v>
      </c>
      <c r="F63" s="36">
        <f t="shared" si="6"/>
        <v>31030.399999999994</v>
      </c>
      <c r="G63" s="39" t="s">
        <v>20</v>
      </c>
      <c r="H63" s="39">
        <v>8300</v>
      </c>
      <c r="I63" s="41">
        <v>22730.399999999998</v>
      </c>
    </row>
    <row r="64" spans="1:9" hidden="1" x14ac:dyDescent="0.2">
      <c r="A64" s="35" t="s">
        <v>16</v>
      </c>
      <c r="B64" s="32">
        <v>-115183.7</v>
      </c>
      <c r="C64" s="40">
        <v>90877.500000000029</v>
      </c>
      <c r="D64" s="37">
        <v>97639.4</v>
      </c>
      <c r="E64" s="32">
        <f>-45347-2194.5</f>
        <v>-47541.5</v>
      </c>
      <c r="F64" s="36">
        <f t="shared" si="6"/>
        <v>25791.700000000026</v>
      </c>
      <c r="G64" s="39" t="s">
        <v>20</v>
      </c>
      <c r="H64" s="39">
        <v>2300</v>
      </c>
      <c r="I64" s="41">
        <v>23491.7</v>
      </c>
    </row>
    <row r="65" spans="1:9" hidden="1" x14ac:dyDescent="0.2">
      <c r="A65" s="35" t="s">
        <v>17</v>
      </c>
      <c r="B65" s="32">
        <v>-112468.1</v>
      </c>
      <c r="C65" s="40">
        <v>154336.40000000008</v>
      </c>
      <c r="D65" s="37">
        <v>70010.7</v>
      </c>
      <c r="E65" s="32">
        <f>-79868.6-1086</f>
        <v>-80954.600000000006</v>
      </c>
      <c r="F65" s="36">
        <f t="shared" si="6"/>
        <v>30924.400000000067</v>
      </c>
      <c r="G65" s="39" t="s">
        <v>20</v>
      </c>
      <c r="H65" s="39" t="s">
        <v>20</v>
      </c>
      <c r="I65" s="41">
        <v>30924.399999999998</v>
      </c>
    </row>
    <row r="66" spans="1:9" hidden="1" x14ac:dyDescent="0.2">
      <c r="A66" s="35" t="s">
        <v>9</v>
      </c>
      <c r="B66" s="32">
        <v>-120665.4</v>
      </c>
      <c r="C66" s="40">
        <v>148241.90000000002</v>
      </c>
      <c r="D66" s="37">
        <v>92741.8</v>
      </c>
      <c r="E66" s="32">
        <f>-77033.6-2801.4</f>
        <v>-79835</v>
      </c>
      <c r="F66" s="36">
        <f t="shared" si="6"/>
        <v>40483.300000000032</v>
      </c>
      <c r="G66" s="39" t="s">
        <v>20</v>
      </c>
      <c r="H66" s="39" t="s">
        <v>20</v>
      </c>
      <c r="I66" s="41">
        <v>40483.300000000003</v>
      </c>
    </row>
    <row r="67" spans="1:9" hidden="1" x14ac:dyDescent="0.2">
      <c r="A67" s="35" t="s">
        <v>14</v>
      </c>
      <c r="B67" s="32">
        <v>-124675.4</v>
      </c>
      <c r="C67" s="40">
        <v>132152.6</v>
      </c>
      <c r="D67" s="37">
        <v>95710.2</v>
      </c>
      <c r="E67" s="32">
        <f>-77001.9-1509.6</f>
        <v>-78511.5</v>
      </c>
      <c r="F67" s="36">
        <f t="shared" si="6"/>
        <v>24675.900000000009</v>
      </c>
      <c r="G67" s="39" t="s">
        <v>20</v>
      </c>
      <c r="H67" s="39">
        <v>3000</v>
      </c>
      <c r="I67" s="41">
        <v>21675.9</v>
      </c>
    </row>
    <row r="68" spans="1:9" hidden="1" x14ac:dyDescent="0.2">
      <c r="A68" s="35" t="s">
        <v>15</v>
      </c>
      <c r="B68" s="32">
        <v>-124765.5</v>
      </c>
      <c r="C68" s="40">
        <v>115750.00000000003</v>
      </c>
      <c r="D68" s="37">
        <v>111837.1</v>
      </c>
      <c r="E68" s="32">
        <f>-74749.4-1706.2</f>
        <v>-76455.599999999991</v>
      </c>
      <c r="F68" s="36">
        <f t="shared" si="6"/>
        <v>26366.000000000044</v>
      </c>
      <c r="G68" s="39" t="s">
        <v>20</v>
      </c>
      <c r="H68" s="39" t="s">
        <v>20</v>
      </c>
      <c r="I68" s="41">
        <v>26366</v>
      </c>
    </row>
    <row r="69" spans="1:9" hidden="1" x14ac:dyDescent="0.2">
      <c r="A69" s="35" t="s">
        <v>11</v>
      </c>
      <c r="B69" s="42">
        <v>-117851.2</v>
      </c>
      <c r="C69" s="40">
        <v>133943.69999999998</v>
      </c>
      <c r="D69" s="37">
        <v>98007.6</v>
      </c>
      <c r="E69" s="32">
        <f>-75127.5-2015.1</f>
        <v>-77142.600000000006</v>
      </c>
      <c r="F69" s="36">
        <f t="shared" si="6"/>
        <v>36957.499999999985</v>
      </c>
      <c r="G69" s="39" t="s">
        <v>20</v>
      </c>
      <c r="H69" s="39" t="s">
        <v>20</v>
      </c>
      <c r="I69" s="41">
        <v>36957.5</v>
      </c>
    </row>
    <row r="70" spans="1:9" hidden="1" x14ac:dyDescent="0.2">
      <c r="A70" s="35" t="s">
        <v>18</v>
      </c>
      <c r="B70" s="42">
        <v>-119216.8</v>
      </c>
      <c r="C70" s="40">
        <v>129014.59999999998</v>
      </c>
      <c r="D70" s="37">
        <v>103504.7</v>
      </c>
      <c r="E70" s="32">
        <f>-77636.4-1696.9</f>
        <v>-79333.299999999988</v>
      </c>
      <c r="F70" s="36">
        <f t="shared" si="6"/>
        <v>33969.199999999983</v>
      </c>
      <c r="G70" s="39" t="s">
        <v>20</v>
      </c>
      <c r="H70" s="39" t="s">
        <v>20</v>
      </c>
      <c r="I70" s="41">
        <v>33969.200000000004</v>
      </c>
    </row>
    <row r="71" spans="1:9" hidden="1" x14ac:dyDescent="0.2">
      <c r="A71" s="35" t="s">
        <v>19</v>
      </c>
      <c r="B71" s="42">
        <v>-117965.7</v>
      </c>
      <c r="C71" s="40">
        <v>120358.70000000007</v>
      </c>
      <c r="D71" s="37">
        <v>124081.2</v>
      </c>
      <c r="E71" s="32">
        <f>-80663.3-1699.1</f>
        <v>-82362.400000000009</v>
      </c>
      <c r="F71" s="36">
        <f t="shared" si="6"/>
        <v>44111.800000000061</v>
      </c>
      <c r="G71" s="39" t="s">
        <v>20</v>
      </c>
      <c r="H71" s="39">
        <v>6000</v>
      </c>
      <c r="I71" s="41">
        <v>38111.799999999996</v>
      </c>
    </row>
    <row r="72" spans="1:9" hidden="1" x14ac:dyDescent="0.2">
      <c r="A72" s="35" t="s">
        <v>10</v>
      </c>
      <c r="B72" s="42">
        <v>-136206.20000000001</v>
      </c>
      <c r="C72" s="40">
        <v>144966.20000000007</v>
      </c>
      <c r="D72" s="37">
        <v>167752.20000000001</v>
      </c>
      <c r="E72" s="32">
        <f>-105526.2-6080.8</f>
        <v>-111607</v>
      </c>
      <c r="F72" s="36">
        <f>B72+C72+D72+E72</f>
        <v>64905.20000000007</v>
      </c>
      <c r="G72" s="39" t="s">
        <v>20</v>
      </c>
      <c r="H72" s="39">
        <v>10000</v>
      </c>
      <c r="I72" s="41">
        <v>54905.2</v>
      </c>
    </row>
    <row r="73" spans="1:9" hidden="1" x14ac:dyDescent="0.2">
      <c r="A73" s="35"/>
      <c r="B73" s="42"/>
      <c r="C73" s="40"/>
      <c r="D73" s="76"/>
      <c r="E73" s="75"/>
      <c r="F73" s="36"/>
      <c r="G73" s="39"/>
      <c r="H73" s="39"/>
      <c r="I73" s="41"/>
    </row>
    <row r="74" spans="1:9" hidden="1" x14ac:dyDescent="0.2">
      <c r="A74" s="35" t="s">
        <v>24</v>
      </c>
      <c r="B74" s="42">
        <v>-124469.1</v>
      </c>
      <c r="C74" s="40">
        <v>153042.50000000006</v>
      </c>
      <c r="D74" s="37">
        <v>117407.9</v>
      </c>
      <c r="E74" s="32">
        <f>-76930-3431.6</f>
        <v>-80361.600000000006</v>
      </c>
      <c r="F74" s="36">
        <f t="shared" si="6"/>
        <v>65619.700000000041</v>
      </c>
      <c r="G74" s="39" t="s">
        <v>20</v>
      </c>
      <c r="H74" s="39">
        <v>20000</v>
      </c>
      <c r="I74" s="41">
        <v>45619.700000000004</v>
      </c>
    </row>
    <row r="75" spans="1:9" hidden="1" x14ac:dyDescent="0.2">
      <c r="A75" s="35" t="s">
        <v>41</v>
      </c>
      <c r="B75" s="42">
        <v>-125950.7</v>
      </c>
      <c r="C75" s="37">
        <v>150227.50000000009</v>
      </c>
      <c r="D75" s="37">
        <v>117857.3</v>
      </c>
      <c r="E75" s="32">
        <f>-80883.1-1625.9</f>
        <v>-82509</v>
      </c>
      <c r="F75" s="36">
        <f t="shared" si="6"/>
        <v>59625.100000000093</v>
      </c>
      <c r="G75" s="39" t="s">
        <v>20</v>
      </c>
      <c r="H75" s="39">
        <v>16000</v>
      </c>
      <c r="I75" s="41">
        <v>43625.1</v>
      </c>
    </row>
    <row r="76" spans="1:9" hidden="1" x14ac:dyDescent="0.2">
      <c r="A76" s="35" t="s">
        <v>42</v>
      </c>
      <c r="B76" s="42">
        <v>-125349.6</v>
      </c>
      <c r="C76" s="37">
        <v>136213.69999999992</v>
      </c>
      <c r="D76" s="37">
        <v>123302.2</v>
      </c>
      <c r="E76" s="32">
        <f>-82744.7-2028.3</f>
        <v>-84773</v>
      </c>
      <c r="F76" s="36">
        <f t="shared" si="6"/>
        <v>49393.29999999993</v>
      </c>
      <c r="G76" s="39" t="s">
        <v>20</v>
      </c>
      <c r="H76" s="39">
        <v>22100</v>
      </c>
      <c r="I76" s="41">
        <v>27293.299999999996</v>
      </c>
    </row>
    <row r="77" spans="1:9" hidden="1" x14ac:dyDescent="0.2">
      <c r="A77" s="35" t="s">
        <v>16</v>
      </c>
      <c r="B77" s="42">
        <v>-127864.3</v>
      </c>
      <c r="C77" s="37">
        <v>124940.20000000004</v>
      </c>
      <c r="D77" s="37">
        <v>140275.9</v>
      </c>
      <c r="E77" s="32">
        <f>-79841.4-2950.9</f>
        <v>-82792.299999999988</v>
      </c>
      <c r="F77" s="36">
        <f t="shared" si="6"/>
        <v>54559.500000000058</v>
      </c>
      <c r="G77" s="39" t="s">
        <v>20</v>
      </c>
      <c r="H77" s="39">
        <v>10000</v>
      </c>
      <c r="I77" s="41">
        <v>44559.6</v>
      </c>
    </row>
    <row r="78" spans="1:9" hidden="1" x14ac:dyDescent="0.2">
      <c r="A78" s="35" t="s">
        <v>17</v>
      </c>
      <c r="B78" s="42">
        <v>-130114.6</v>
      </c>
      <c r="C78" s="37">
        <v>110538.00000000003</v>
      </c>
      <c r="D78" s="37">
        <v>123904.3</v>
      </c>
      <c r="E78" s="32">
        <f>-83283-3013.4</f>
        <v>-86296.4</v>
      </c>
      <c r="F78" s="36">
        <f t="shared" si="6"/>
        <v>18031.300000000032</v>
      </c>
      <c r="G78" s="39" t="s">
        <v>20</v>
      </c>
      <c r="H78" s="39" t="s">
        <v>20</v>
      </c>
      <c r="I78" s="41">
        <v>18031.3</v>
      </c>
    </row>
    <row r="79" spans="1:9" hidden="1" x14ac:dyDescent="0.2">
      <c r="A79" s="35" t="s">
        <v>9</v>
      </c>
      <c r="B79" s="42">
        <v>-147647.5</v>
      </c>
      <c r="C79" s="37">
        <v>94137.999999999942</v>
      </c>
      <c r="D79" s="37">
        <v>149157.6</v>
      </c>
      <c r="E79" s="32">
        <f>-68787.6-2916</f>
        <v>-71703.600000000006</v>
      </c>
      <c r="F79" s="36">
        <f t="shared" si="6"/>
        <v>23944.499999999942</v>
      </c>
      <c r="G79" s="39" t="s">
        <v>20</v>
      </c>
      <c r="H79" s="39" t="s">
        <v>20</v>
      </c>
      <c r="I79" s="41">
        <v>23944.5</v>
      </c>
    </row>
    <row r="80" spans="1:9" hidden="1" x14ac:dyDescent="0.2">
      <c r="A80" s="35" t="s">
        <v>14</v>
      </c>
      <c r="B80" s="42">
        <v>-163191.5</v>
      </c>
      <c r="C80" s="37">
        <v>91739.900000000052</v>
      </c>
      <c r="D80" s="37">
        <v>167573.5</v>
      </c>
      <c r="E80" s="32">
        <f>-66938.9-3831.2</f>
        <v>-70770.099999999991</v>
      </c>
      <c r="F80" s="36">
        <f t="shared" si="6"/>
        <v>25351.800000000061</v>
      </c>
      <c r="G80" s="39" t="s">
        <v>20</v>
      </c>
      <c r="H80" s="39" t="s">
        <v>20</v>
      </c>
      <c r="I80" s="41">
        <v>25351.8</v>
      </c>
    </row>
    <row r="81" spans="1:9" hidden="1" x14ac:dyDescent="0.2">
      <c r="A81" s="35" t="s">
        <v>15</v>
      </c>
      <c r="B81" s="42">
        <v>-156374.20000000001</v>
      </c>
      <c r="C81" s="37">
        <v>83653.000000000058</v>
      </c>
      <c r="D81" s="37">
        <v>162905.60000000001</v>
      </c>
      <c r="E81" s="32">
        <f>-55019.4-3208.6</f>
        <v>-58228</v>
      </c>
      <c r="F81" s="36">
        <f t="shared" si="6"/>
        <v>31956.400000000052</v>
      </c>
      <c r="G81" s="39">
        <v>598.6</v>
      </c>
      <c r="H81" s="39" t="s">
        <v>20</v>
      </c>
      <c r="I81" s="41">
        <v>32555</v>
      </c>
    </row>
    <row r="82" spans="1:9" hidden="1" x14ac:dyDescent="0.2">
      <c r="A82" s="35" t="s">
        <v>11</v>
      </c>
      <c r="B82" s="42">
        <v>-149317.20000000001</v>
      </c>
      <c r="C82" s="37">
        <v>69547.099999999919</v>
      </c>
      <c r="D82" s="37">
        <v>171436.9</v>
      </c>
      <c r="E82" s="32">
        <f>-55528.6-1750.6</f>
        <v>-57279.199999999997</v>
      </c>
      <c r="F82" s="36">
        <f t="shared" si="6"/>
        <v>34387.599999999904</v>
      </c>
      <c r="G82" s="39" t="s">
        <v>20</v>
      </c>
      <c r="H82" s="39">
        <v>2000</v>
      </c>
      <c r="I82" s="41">
        <v>32387.600000000002</v>
      </c>
    </row>
    <row r="83" spans="1:9" hidden="1" x14ac:dyDescent="0.2">
      <c r="A83" s="35" t="s">
        <v>18</v>
      </c>
      <c r="B83" s="42">
        <v>-145288.6</v>
      </c>
      <c r="C83" s="37">
        <v>66483.800000000047</v>
      </c>
      <c r="D83" s="37">
        <v>149463.9</v>
      </c>
      <c r="E83" s="32">
        <f>-55368.1-934.5</f>
        <v>-56302.6</v>
      </c>
      <c r="F83" s="36">
        <f t="shared" si="6"/>
        <v>14356.500000000036</v>
      </c>
      <c r="G83" s="39">
        <v>3740.2</v>
      </c>
      <c r="H83" s="39" t="s">
        <v>20</v>
      </c>
      <c r="I83" s="41">
        <v>18096.7</v>
      </c>
    </row>
    <row r="84" spans="1:9" hidden="1" x14ac:dyDescent="0.2">
      <c r="A84" s="35" t="s">
        <v>19</v>
      </c>
      <c r="B84" s="42">
        <v>-143026.9</v>
      </c>
      <c r="C84" s="37">
        <v>74650.300000000047</v>
      </c>
      <c r="D84" s="37">
        <v>164159.79999999999</v>
      </c>
      <c r="E84" s="32">
        <f>-58814.4-1498.6</f>
        <v>-60313</v>
      </c>
      <c r="F84" s="36">
        <f t="shared" si="6"/>
        <v>35470.200000000041</v>
      </c>
      <c r="G84" s="39" t="s">
        <v>20</v>
      </c>
      <c r="H84" s="39" t="s">
        <v>20</v>
      </c>
      <c r="I84" s="41">
        <v>35470.199999999997</v>
      </c>
    </row>
    <row r="85" spans="1:9" hidden="1" x14ac:dyDescent="0.2">
      <c r="A85" s="35" t="s">
        <v>10</v>
      </c>
      <c r="B85" s="42">
        <v>-155835.20000000001</v>
      </c>
      <c r="C85" s="37">
        <v>141613.59999999998</v>
      </c>
      <c r="D85" s="37">
        <v>150905.29999999999</v>
      </c>
      <c r="E85" s="32">
        <f>-77089.6-3715.6</f>
        <v>-80805.200000000012</v>
      </c>
      <c r="F85" s="36">
        <f t="shared" si="6"/>
        <v>55878.499999999942</v>
      </c>
      <c r="G85" s="39" t="s">
        <v>20</v>
      </c>
      <c r="H85" s="39">
        <v>7000</v>
      </c>
      <c r="I85" s="41">
        <v>48878.5</v>
      </c>
    </row>
    <row r="86" spans="1:9" hidden="1" x14ac:dyDescent="0.2">
      <c r="A86" s="35"/>
      <c r="B86" s="42"/>
      <c r="C86" s="37"/>
      <c r="D86" s="37"/>
      <c r="E86" s="32"/>
      <c r="F86" s="36"/>
      <c r="G86" s="39"/>
      <c r="H86" s="39"/>
      <c r="I86" s="41"/>
    </row>
    <row r="87" spans="1:9" hidden="1" x14ac:dyDescent="0.2">
      <c r="A87" s="35" t="s">
        <v>29</v>
      </c>
      <c r="B87" s="42">
        <v>-145536.5</v>
      </c>
      <c r="C87" s="37">
        <v>131446.90000000008</v>
      </c>
      <c r="D87" s="37">
        <v>126919.6</v>
      </c>
      <c r="E87" s="32">
        <f>-58917.7-1058.5</f>
        <v>-59976.2</v>
      </c>
      <c r="F87" s="36">
        <f t="shared" si="6"/>
        <v>52853.80000000009</v>
      </c>
      <c r="G87" s="39" t="s">
        <v>20</v>
      </c>
      <c r="H87" s="39">
        <v>8500</v>
      </c>
      <c r="I87" s="41">
        <v>44353.799999999996</v>
      </c>
    </row>
    <row r="88" spans="1:9" hidden="1" x14ac:dyDescent="0.2">
      <c r="A88" s="35" t="s">
        <v>41</v>
      </c>
      <c r="B88" s="42">
        <v>-144843.29999999999</v>
      </c>
      <c r="C88" s="37">
        <v>156264.40000000002</v>
      </c>
      <c r="D88" s="37">
        <v>83321.100000000006</v>
      </c>
      <c r="E88" s="32">
        <f>-61911.6-1470.1</f>
        <v>-63381.7</v>
      </c>
      <c r="F88" s="36">
        <f t="shared" si="6"/>
        <v>31360.500000000044</v>
      </c>
      <c r="G88" s="39">
        <v>1723.4</v>
      </c>
      <c r="H88" s="39">
        <v>3000</v>
      </c>
      <c r="I88" s="41">
        <v>30083.899999999998</v>
      </c>
    </row>
    <row r="89" spans="1:9" hidden="1" x14ac:dyDescent="0.2">
      <c r="A89" s="35" t="s">
        <v>42</v>
      </c>
      <c r="B89" s="42">
        <v>-149827.1</v>
      </c>
      <c r="C89" s="37">
        <v>143339.10000000009</v>
      </c>
      <c r="D89" s="37">
        <v>111050.6</v>
      </c>
      <c r="E89" s="32">
        <f>-60683.1-2811</f>
        <v>-63494.1</v>
      </c>
      <c r="F89" s="36">
        <f t="shared" si="6"/>
        <v>41068.500000000095</v>
      </c>
      <c r="G89" s="39">
        <v>3410.3</v>
      </c>
      <c r="H89" s="39">
        <v>4500</v>
      </c>
      <c r="I89" s="41">
        <v>39978.800000000003</v>
      </c>
    </row>
    <row r="90" spans="1:9" hidden="1" x14ac:dyDescent="0.2">
      <c r="A90" s="35" t="s">
        <v>16</v>
      </c>
      <c r="B90" s="42">
        <v>-154603.9</v>
      </c>
      <c r="C90" s="37">
        <v>151581.59999999998</v>
      </c>
      <c r="D90" s="37">
        <v>102644.5</v>
      </c>
      <c r="E90" s="32">
        <f>-62157.6-6835.9</f>
        <v>-68993.5</v>
      </c>
      <c r="F90" s="36">
        <f t="shared" si="6"/>
        <v>30628.699999999983</v>
      </c>
      <c r="G90" s="39">
        <v>4017</v>
      </c>
      <c r="H90" s="39" t="s">
        <v>20</v>
      </c>
      <c r="I90" s="41">
        <v>34645.699999999997</v>
      </c>
    </row>
    <row r="91" spans="1:9" hidden="1" x14ac:dyDescent="0.2">
      <c r="A91" s="35" t="s">
        <v>17</v>
      </c>
      <c r="B91" s="42">
        <v>-159225.29999999999</v>
      </c>
      <c r="C91" s="37">
        <v>145435.50000000006</v>
      </c>
      <c r="D91" s="37">
        <v>101140.2</v>
      </c>
      <c r="E91" s="32">
        <f>-63598.6-4562.9</f>
        <v>-68161.5</v>
      </c>
      <c r="F91" s="36">
        <f t="shared" si="6"/>
        <v>19188.900000000067</v>
      </c>
      <c r="G91" s="39">
        <v>8670.2999999999993</v>
      </c>
      <c r="H91" s="39" t="s">
        <v>20</v>
      </c>
      <c r="I91" s="41">
        <v>27859.199999999997</v>
      </c>
    </row>
    <row r="92" spans="1:9" hidden="1" x14ac:dyDescent="0.2">
      <c r="A92" s="35" t="s">
        <v>9</v>
      </c>
      <c r="B92" s="42">
        <v>-172348.7</v>
      </c>
      <c r="C92" s="37">
        <v>133383.10000000003</v>
      </c>
      <c r="D92" s="37">
        <v>115763.8</v>
      </c>
      <c r="E92" s="32">
        <f>-65543.2-4533.1</f>
        <v>-70076.3</v>
      </c>
      <c r="F92" s="36">
        <f t="shared" si="6"/>
        <v>6721.9000000000233</v>
      </c>
      <c r="G92" s="39">
        <v>21978.1</v>
      </c>
      <c r="H92" s="39" t="s">
        <v>20</v>
      </c>
      <c r="I92" s="41">
        <v>28700.000000000004</v>
      </c>
    </row>
    <row r="93" spans="1:9" hidden="1" x14ac:dyDescent="0.2">
      <c r="A93" s="35" t="s">
        <v>14</v>
      </c>
      <c r="B93" s="42">
        <v>-186362</v>
      </c>
      <c r="C93" s="37">
        <v>119995.10000000003</v>
      </c>
      <c r="D93" s="37">
        <v>140073</v>
      </c>
      <c r="E93" s="32">
        <f>-68327.7-7623.7</f>
        <v>-75951.399999999994</v>
      </c>
      <c r="F93" s="36">
        <f t="shared" si="6"/>
        <v>-2245.2999999999593</v>
      </c>
      <c r="G93" s="39">
        <v>28323</v>
      </c>
      <c r="H93" s="39" t="s">
        <v>20</v>
      </c>
      <c r="I93" s="41">
        <v>26077.7</v>
      </c>
    </row>
    <row r="94" spans="1:9" hidden="1" x14ac:dyDescent="0.2">
      <c r="A94" s="35" t="s">
        <v>15</v>
      </c>
      <c r="B94" s="42">
        <v>-180063.1</v>
      </c>
      <c r="C94" s="37">
        <v>101092.90000000008</v>
      </c>
      <c r="D94" s="37">
        <v>148332.29999999999</v>
      </c>
      <c r="E94" s="32">
        <f>-59112.9-1938.6</f>
        <v>-61051.5</v>
      </c>
      <c r="F94" s="36">
        <f t="shared" si="6"/>
        <v>8310.600000000064</v>
      </c>
      <c r="G94" s="39">
        <v>30627.200000000001</v>
      </c>
      <c r="H94" s="39" t="s">
        <v>20</v>
      </c>
      <c r="I94" s="41">
        <v>38937.800000000003</v>
      </c>
    </row>
    <row r="95" spans="1:9" hidden="1" x14ac:dyDescent="0.2">
      <c r="A95" s="35" t="s">
        <v>11</v>
      </c>
      <c r="B95" s="42">
        <v>-168466.4</v>
      </c>
      <c r="C95" s="37">
        <v>81241.400000000081</v>
      </c>
      <c r="D95" s="37">
        <v>149815.79999999999</v>
      </c>
      <c r="E95" s="32">
        <f>-67674.6-1392.9</f>
        <v>-69067.5</v>
      </c>
      <c r="F95" s="36">
        <f t="shared" si="6"/>
        <v>-6476.6999999999243</v>
      </c>
      <c r="G95" s="39">
        <v>41214.800000000003</v>
      </c>
      <c r="H95" s="39" t="s">
        <v>20</v>
      </c>
      <c r="I95" s="41">
        <v>34738.100000000006</v>
      </c>
    </row>
    <row r="96" spans="1:9" hidden="1" x14ac:dyDescent="0.2">
      <c r="A96" s="35" t="s">
        <v>18</v>
      </c>
      <c r="B96" s="42">
        <v>-163042.70000000001</v>
      </c>
      <c r="C96" s="37">
        <v>61605.000000000116</v>
      </c>
      <c r="D96" s="37">
        <v>165574.1</v>
      </c>
      <c r="E96" s="32">
        <f>-70840.1-2631.1</f>
        <v>-73471.200000000012</v>
      </c>
      <c r="F96" s="36">
        <f t="shared" si="6"/>
        <v>-9334.799999999901</v>
      </c>
      <c r="G96" s="39">
        <v>33892.300000000003</v>
      </c>
      <c r="H96" s="39" t="s">
        <v>20</v>
      </c>
      <c r="I96" s="41">
        <v>24557.500000000004</v>
      </c>
    </row>
    <row r="97" spans="1:12" hidden="1" x14ac:dyDescent="0.2">
      <c r="A97" s="35" t="s">
        <v>19</v>
      </c>
      <c r="B97" s="42">
        <v>-157871.5</v>
      </c>
      <c r="C97" s="37">
        <v>59710.299999999988</v>
      </c>
      <c r="D97" s="37">
        <v>152674.5</v>
      </c>
      <c r="E97" s="32">
        <f>-70737.2-2686.9</f>
        <v>-73424.099999999991</v>
      </c>
      <c r="F97" s="36">
        <f t="shared" si="6"/>
        <v>-18910.800000000003</v>
      </c>
      <c r="G97" s="39">
        <v>39419.1</v>
      </c>
      <c r="H97" s="39" t="s">
        <v>20</v>
      </c>
      <c r="I97" s="41">
        <v>20508.3</v>
      </c>
    </row>
    <row r="98" spans="1:12" hidden="1" x14ac:dyDescent="0.2">
      <c r="A98" s="35" t="s">
        <v>10</v>
      </c>
      <c r="B98" s="42">
        <v>-170106</v>
      </c>
      <c r="C98" s="37">
        <v>82293.999999999942</v>
      </c>
      <c r="D98" s="37">
        <v>211644.79999999999</v>
      </c>
      <c r="E98" s="32">
        <f>-108854.9-5021.5</f>
        <v>-113876.4</v>
      </c>
      <c r="F98" s="36">
        <f t="shared" si="6"/>
        <v>9956.399999999936</v>
      </c>
      <c r="G98" s="39">
        <v>25301.3</v>
      </c>
      <c r="H98" s="39" t="s">
        <v>20</v>
      </c>
      <c r="I98" s="41">
        <v>35257.700000000004</v>
      </c>
    </row>
    <row r="99" spans="1:12" hidden="1" x14ac:dyDescent="0.2">
      <c r="A99" s="35"/>
      <c r="B99" s="42"/>
      <c r="C99" s="37"/>
      <c r="D99" s="76"/>
      <c r="E99" s="75"/>
      <c r="F99" s="36"/>
      <c r="G99" s="39"/>
      <c r="H99" s="39"/>
      <c r="I99" s="41"/>
    </row>
    <row r="100" spans="1:12" hidden="1" x14ac:dyDescent="0.2">
      <c r="A100" s="35" t="s">
        <v>34</v>
      </c>
      <c r="B100" s="42">
        <v>-162981.5</v>
      </c>
      <c r="C100" s="37">
        <v>112890.80000000005</v>
      </c>
      <c r="D100" s="37">
        <v>137839.4</v>
      </c>
      <c r="E100" s="32">
        <f>-83956.2-2038.7</f>
        <v>-85994.9</v>
      </c>
      <c r="F100" s="36">
        <f t="shared" si="6"/>
        <v>1753.8000000000466</v>
      </c>
      <c r="G100" s="39">
        <v>17713.400000000001</v>
      </c>
      <c r="H100" s="39" t="s">
        <v>20</v>
      </c>
      <c r="I100" s="41">
        <v>19467.2</v>
      </c>
    </row>
    <row r="101" spans="1:12" hidden="1" x14ac:dyDescent="0.2">
      <c r="A101" s="35" t="s">
        <v>39</v>
      </c>
      <c r="B101" s="42">
        <v>-164099.6</v>
      </c>
      <c r="C101" s="37">
        <v>98423.900000000023</v>
      </c>
      <c r="D101" s="37">
        <v>143263.6</v>
      </c>
      <c r="E101" s="32">
        <f>-72848.2-3259.3</f>
        <v>-76107.5</v>
      </c>
      <c r="F101" s="36">
        <f t="shared" si="6"/>
        <v>1480.4000000000233</v>
      </c>
      <c r="G101" s="39">
        <v>29586.1</v>
      </c>
      <c r="H101" s="39" t="s">
        <v>20</v>
      </c>
      <c r="I101" s="41">
        <v>31066.6</v>
      </c>
    </row>
    <row r="102" spans="1:12" hidden="1" x14ac:dyDescent="0.2">
      <c r="A102" s="35" t="s">
        <v>35</v>
      </c>
      <c r="B102" s="42">
        <v>-165509.4</v>
      </c>
      <c r="C102" s="37">
        <v>67729.100000000093</v>
      </c>
      <c r="D102" s="37">
        <v>164340</v>
      </c>
      <c r="E102" s="32">
        <f>-73205.9-1483.9</f>
        <v>-74689.799999999988</v>
      </c>
      <c r="F102" s="36">
        <f t="shared" si="6"/>
        <v>-8130.0999999998894</v>
      </c>
      <c r="G102" s="39">
        <v>31811.4</v>
      </c>
      <c r="H102" s="39" t="s">
        <v>20</v>
      </c>
      <c r="I102" s="41">
        <v>23681.300000000003</v>
      </c>
    </row>
    <row r="103" spans="1:12" hidden="1" x14ac:dyDescent="0.2">
      <c r="A103" s="35" t="s">
        <v>40</v>
      </c>
      <c r="B103" s="42">
        <v>-168178.8</v>
      </c>
      <c r="C103" s="37">
        <v>57855.800000000047</v>
      </c>
      <c r="D103" s="37">
        <v>170991.3</v>
      </c>
      <c r="E103" s="32">
        <f>-73405.9-2692.4</f>
        <v>-76098.299999999988</v>
      </c>
      <c r="F103" s="36">
        <f t="shared" si="6"/>
        <v>-15429.999999999942</v>
      </c>
      <c r="G103" s="39">
        <v>44281</v>
      </c>
      <c r="H103" s="39" t="s">
        <v>20</v>
      </c>
      <c r="I103" s="41">
        <v>28851</v>
      </c>
    </row>
    <row r="104" spans="1:12" hidden="1" x14ac:dyDescent="0.2">
      <c r="A104" s="35" t="s">
        <v>48</v>
      </c>
      <c r="B104" s="42">
        <v>-167039</v>
      </c>
      <c r="C104" s="37">
        <v>60535.400000000023</v>
      </c>
      <c r="D104" s="37">
        <v>164633.70000000001</v>
      </c>
      <c r="E104" s="32">
        <f>-75215.6-6195.7</f>
        <v>-81411.3</v>
      </c>
      <c r="F104" s="36">
        <f t="shared" si="6"/>
        <v>-23281.199999999968</v>
      </c>
      <c r="G104" s="39">
        <v>51288.800000000003</v>
      </c>
      <c r="H104" s="39" t="s">
        <v>20</v>
      </c>
      <c r="I104" s="41">
        <v>28007.600000000002</v>
      </c>
      <c r="L104" s="5" t="s">
        <v>36</v>
      </c>
    </row>
    <row r="105" spans="1:12" hidden="1" x14ac:dyDescent="0.2">
      <c r="A105" s="35" t="s">
        <v>49</v>
      </c>
      <c r="B105" s="42">
        <v>-183642.4</v>
      </c>
      <c r="C105" s="37">
        <v>49308</v>
      </c>
      <c r="D105" s="37">
        <v>186067.6</v>
      </c>
      <c r="E105" s="32">
        <f>-79432.2-3685.5</f>
        <v>-83117.7</v>
      </c>
      <c r="F105" s="36">
        <f t="shared" si="6"/>
        <v>-31384.499999999985</v>
      </c>
      <c r="G105" s="39">
        <v>60598.8</v>
      </c>
      <c r="H105" s="39" t="s">
        <v>20</v>
      </c>
      <c r="I105" s="41">
        <v>29214.3</v>
      </c>
      <c r="L105" s="5" t="s">
        <v>36</v>
      </c>
    </row>
    <row r="106" spans="1:12" hidden="1" x14ac:dyDescent="0.2">
      <c r="A106" s="35" t="s">
        <v>50</v>
      </c>
      <c r="B106" s="42">
        <v>-191205.6</v>
      </c>
      <c r="C106" s="37">
        <v>46872.799999999988</v>
      </c>
      <c r="D106" s="37">
        <v>206962.8</v>
      </c>
      <c r="E106" s="32">
        <f>-77255.6-2770.1</f>
        <v>-80025.700000000012</v>
      </c>
      <c r="F106" s="36">
        <f t="shared" si="6"/>
        <v>-17395.700000000041</v>
      </c>
      <c r="G106" s="39">
        <v>53762</v>
      </c>
      <c r="H106" s="39" t="s">
        <v>20</v>
      </c>
      <c r="I106" s="41">
        <v>36366.299999999996</v>
      </c>
      <c r="L106" s="5" t="s">
        <v>36</v>
      </c>
    </row>
    <row r="107" spans="1:12" hidden="1" x14ac:dyDescent="0.2">
      <c r="A107" s="35" t="s">
        <v>50</v>
      </c>
      <c r="B107" s="42">
        <v>-196035.5</v>
      </c>
      <c r="C107" s="37">
        <v>39580.20000000007</v>
      </c>
      <c r="D107" s="37">
        <v>221346.3</v>
      </c>
      <c r="E107" s="32">
        <f>-72756.6-3216.8</f>
        <v>-75973.400000000009</v>
      </c>
      <c r="F107" s="36">
        <f t="shared" si="6"/>
        <v>-11082.399999999951</v>
      </c>
      <c r="G107" s="39">
        <v>40499.300000000003</v>
      </c>
      <c r="H107" s="39" t="s">
        <v>20</v>
      </c>
      <c r="I107" s="41">
        <v>29416.9</v>
      </c>
      <c r="L107" s="5" t="s">
        <v>36</v>
      </c>
    </row>
    <row r="108" spans="1:12" hidden="1" x14ac:dyDescent="0.2">
      <c r="A108" s="35" t="s">
        <v>51</v>
      </c>
      <c r="B108" s="42">
        <v>-184428.3</v>
      </c>
      <c r="C108" s="37">
        <v>55414.5</v>
      </c>
      <c r="D108" s="37">
        <v>208067.1</v>
      </c>
      <c r="E108" s="32">
        <f>-72773.4-1849.9</f>
        <v>-74623.299999999988</v>
      </c>
      <c r="F108" s="36">
        <f t="shared" si="6"/>
        <v>4430.0000000000291</v>
      </c>
      <c r="G108" s="39">
        <v>29808.6</v>
      </c>
      <c r="H108" s="39" t="s">
        <v>20</v>
      </c>
      <c r="I108" s="41">
        <v>34238.699999999997</v>
      </c>
      <c r="L108" s="5" t="s">
        <v>36</v>
      </c>
    </row>
    <row r="109" spans="1:12" hidden="1" x14ac:dyDescent="0.2">
      <c r="A109" s="35" t="s">
        <v>53</v>
      </c>
      <c r="B109" s="42">
        <v>-180543.7</v>
      </c>
      <c r="C109" s="37">
        <v>50733.300000000047</v>
      </c>
      <c r="D109" s="37">
        <v>233205.7</v>
      </c>
      <c r="E109" s="32">
        <f>-70895.8-6467.9</f>
        <v>-77363.7</v>
      </c>
      <c r="F109" s="36">
        <f t="shared" si="6"/>
        <v>26031.600000000049</v>
      </c>
      <c r="G109" s="39">
        <v>15843.6</v>
      </c>
      <c r="H109" s="39" t="s">
        <v>20</v>
      </c>
      <c r="I109" s="41">
        <v>41875.200000000004</v>
      </c>
      <c r="L109" s="5" t="s">
        <v>36</v>
      </c>
    </row>
    <row r="110" spans="1:12" hidden="1" x14ac:dyDescent="0.2">
      <c r="A110" s="35" t="s">
        <v>54</v>
      </c>
      <c r="B110" s="42">
        <v>-180263.8</v>
      </c>
      <c r="C110" s="37">
        <v>50395.000000000058</v>
      </c>
      <c r="D110" s="37">
        <v>251672.2</v>
      </c>
      <c r="E110" s="32">
        <f>-75663.1-7806.4</f>
        <v>-83469.5</v>
      </c>
      <c r="F110" s="36">
        <f t="shared" si="6"/>
        <v>38333.900000000081</v>
      </c>
      <c r="G110" s="39">
        <v>9108</v>
      </c>
      <c r="H110" s="39" t="s">
        <v>20</v>
      </c>
      <c r="I110" s="41">
        <v>47441.9</v>
      </c>
    </row>
    <row r="111" spans="1:12" hidden="1" x14ac:dyDescent="0.2">
      <c r="A111" s="35" t="s">
        <v>56</v>
      </c>
      <c r="B111" s="42">
        <v>-198246.9</v>
      </c>
      <c r="C111" s="37">
        <v>66928.899999999907</v>
      </c>
      <c r="D111" s="37">
        <v>285507.40000000002</v>
      </c>
      <c r="E111" s="32">
        <f>-101467.7-3214.3</f>
        <v>-104682</v>
      </c>
      <c r="F111" s="36">
        <f t="shared" si="6"/>
        <v>49507.399999999936</v>
      </c>
      <c r="G111" s="39" t="s">
        <v>20</v>
      </c>
      <c r="H111" s="39">
        <v>6800</v>
      </c>
      <c r="I111" s="41">
        <v>42707.4</v>
      </c>
    </row>
    <row r="112" spans="1:12" hidden="1" x14ac:dyDescent="0.2">
      <c r="A112" s="35"/>
      <c r="B112" s="42"/>
      <c r="C112" s="37"/>
      <c r="D112" s="37"/>
      <c r="E112" s="75"/>
      <c r="F112" s="36"/>
      <c r="G112" s="39"/>
      <c r="H112" s="39"/>
      <c r="I112" s="41"/>
    </row>
    <row r="113" spans="1:9" hidden="1" x14ac:dyDescent="0.2">
      <c r="A113" s="35" t="s">
        <v>37</v>
      </c>
      <c r="B113" s="42">
        <v>-182477.4</v>
      </c>
      <c r="C113" s="37">
        <v>55782.700000000012</v>
      </c>
      <c r="D113" s="37">
        <v>246528.5</v>
      </c>
      <c r="E113" s="32">
        <f>+-73113.8-1455.9</f>
        <v>-74569.7</v>
      </c>
      <c r="F113" s="36">
        <f t="shared" si="6"/>
        <v>45264.10000000002</v>
      </c>
      <c r="G113" s="39" t="s">
        <v>20</v>
      </c>
      <c r="H113" s="39" t="s">
        <v>20</v>
      </c>
      <c r="I113" s="41">
        <v>45264.100000000006</v>
      </c>
    </row>
    <row r="114" spans="1:9" hidden="1" x14ac:dyDescent="0.2">
      <c r="A114" s="35" t="s">
        <v>57</v>
      </c>
      <c r="B114" s="42">
        <v>-188192.1</v>
      </c>
      <c r="C114" s="37">
        <v>97419.499999999825</v>
      </c>
      <c r="D114" s="37">
        <v>214938.4</v>
      </c>
      <c r="E114" s="32">
        <f>+-79619.2-6898.7</f>
        <v>-86517.9</v>
      </c>
      <c r="F114" s="36">
        <f t="shared" si="6"/>
        <v>37647.89999999982</v>
      </c>
      <c r="G114" s="39">
        <v>11804.3</v>
      </c>
      <c r="H114" s="39" t="s">
        <v>20</v>
      </c>
      <c r="I114" s="41">
        <v>49452.2</v>
      </c>
    </row>
    <row r="115" spans="1:9" hidden="1" x14ac:dyDescent="0.2">
      <c r="A115" s="35" t="s">
        <v>38</v>
      </c>
      <c r="B115" s="42">
        <v>-189178.2</v>
      </c>
      <c r="C115" s="37">
        <v>48746.900000000023</v>
      </c>
      <c r="D115" s="37">
        <v>264998.8</v>
      </c>
      <c r="E115" s="32">
        <f>+-79059.1-5227</f>
        <v>-84286.1</v>
      </c>
      <c r="F115" s="36">
        <f t="shared" si="6"/>
        <v>40281.399999999994</v>
      </c>
      <c r="G115" s="39">
        <v>7592</v>
      </c>
      <c r="H115" s="39" t="s">
        <v>20</v>
      </c>
      <c r="I115" s="41">
        <v>47873.4</v>
      </c>
    </row>
    <row r="116" spans="1:9" hidden="1" x14ac:dyDescent="0.2">
      <c r="A116" s="35" t="s">
        <v>61</v>
      </c>
      <c r="B116" s="42">
        <v>-192574</v>
      </c>
      <c r="C116" s="37">
        <v>44693.599999999977</v>
      </c>
      <c r="D116" s="37">
        <v>280277.5</v>
      </c>
      <c r="E116" s="32">
        <f>+-67571-7824.6</f>
        <v>-75395.600000000006</v>
      </c>
      <c r="F116" s="36">
        <f t="shared" si="6"/>
        <v>57001.499999999971</v>
      </c>
      <c r="G116" s="39" t="s">
        <v>20</v>
      </c>
      <c r="H116" s="39" t="s">
        <v>20</v>
      </c>
      <c r="I116" s="41">
        <v>57001.5</v>
      </c>
    </row>
    <row r="117" spans="1:9" hidden="1" x14ac:dyDescent="0.2">
      <c r="A117" s="35" t="s">
        <v>75</v>
      </c>
      <c r="B117" s="42">
        <v>-197918.3</v>
      </c>
      <c r="C117" s="37">
        <v>64212.600000000035</v>
      </c>
      <c r="D117" s="37">
        <v>251958.7</v>
      </c>
      <c r="E117" s="32">
        <f>+-61567.7-7238.8</f>
        <v>-68806.5</v>
      </c>
      <c r="F117" s="36">
        <f t="shared" ref="F117:F126" si="7">B117+C117+D117+E117</f>
        <v>49446.500000000058</v>
      </c>
      <c r="G117" s="39" t="s">
        <v>20</v>
      </c>
      <c r="H117" s="39" t="s">
        <v>20</v>
      </c>
      <c r="I117" s="41">
        <v>49446.5</v>
      </c>
    </row>
    <row r="118" spans="1:9" hidden="1" x14ac:dyDescent="0.2">
      <c r="A118" s="35" t="s">
        <v>76</v>
      </c>
      <c r="B118" s="42">
        <v>-205811.8</v>
      </c>
      <c r="C118" s="37">
        <v>56965.400000000081</v>
      </c>
      <c r="D118" s="37">
        <v>273884.2</v>
      </c>
      <c r="E118" s="32">
        <f>+-58391.3-7451.7</f>
        <v>-65843</v>
      </c>
      <c r="F118" s="36">
        <f t="shared" si="7"/>
        <v>59194.800000000105</v>
      </c>
      <c r="G118" s="39" t="s">
        <v>20</v>
      </c>
      <c r="H118" s="39" t="s">
        <v>20</v>
      </c>
      <c r="I118" s="41">
        <v>59194.8</v>
      </c>
    </row>
    <row r="119" spans="1:9" hidden="1" x14ac:dyDescent="0.2">
      <c r="A119" s="35" t="s">
        <v>77</v>
      </c>
      <c r="B119" s="42">
        <v>-205754.8</v>
      </c>
      <c r="C119" s="37">
        <v>88260.700000000012</v>
      </c>
      <c r="D119" s="37">
        <v>211421.3</v>
      </c>
      <c r="E119" s="32">
        <f>+-48569-3719.7</f>
        <v>-52288.7</v>
      </c>
      <c r="F119" s="36">
        <f t="shared" si="7"/>
        <v>41638.500000000015</v>
      </c>
      <c r="G119" s="39">
        <v>2619.6999999999998</v>
      </c>
      <c r="H119" s="39" t="s">
        <v>20</v>
      </c>
      <c r="I119" s="41">
        <v>44258.2</v>
      </c>
    </row>
    <row r="120" spans="1:9" hidden="1" x14ac:dyDescent="0.2">
      <c r="A120" s="35" t="s">
        <v>78</v>
      </c>
      <c r="B120" s="42">
        <v>-207966.5</v>
      </c>
      <c r="C120" s="37">
        <v>79468.300000000047</v>
      </c>
      <c r="D120" s="37">
        <v>254521.3</v>
      </c>
      <c r="E120" s="32">
        <f>+-50376.8-7555.4</f>
        <v>-57932.200000000004</v>
      </c>
      <c r="F120" s="36">
        <f t="shared" si="7"/>
        <v>68090.900000000023</v>
      </c>
      <c r="G120" s="39" t="s">
        <v>20</v>
      </c>
      <c r="H120" s="39" t="s">
        <v>20</v>
      </c>
      <c r="I120" s="41">
        <v>68090.899999999994</v>
      </c>
    </row>
    <row r="121" spans="1:9" hidden="1" x14ac:dyDescent="0.2">
      <c r="A121" s="35" t="s">
        <v>79</v>
      </c>
      <c r="B121" s="42">
        <v>-201031</v>
      </c>
      <c r="C121" s="37">
        <v>78410.800000000105</v>
      </c>
      <c r="D121" s="37">
        <v>243601.6</v>
      </c>
      <c r="E121" s="32">
        <f>+-46532.7-4646.1</f>
        <v>-51178.799999999996</v>
      </c>
      <c r="F121" s="36">
        <f t="shared" si="7"/>
        <v>69802.600000000122</v>
      </c>
      <c r="G121" s="39">
        <v>61.3</v>
      </c>
      <c r="H121" s="39" t="s">
        <v>20</v>
      </c>
      <c r="I121" s="41">
        <v>69863.899999999994</v>
      </c>
    </row>
    <row r="122" spans="1:9" hidden="1" x14ac:dyDescent="0.2">
      <c r="A122" s="35" t="s">
        <v>80</v>
      </c>
      <c r="B122" s="42">
        <v>-202480.1</v>
      </c>
      <c r="C122" s="37">
        <v>98627.29999999993</v>
      </c>
      <c r="D122" s="37">
        <v>234765.3</v>
      </c>
      <c r="E122" s="32">
        <f>+-59102.7-4787.4</f>
        <v>-63890.1</v>
      </c>
      <c r="F122" s="36">
        <f t="shared" si="7"/>
        <v>67022.399999999907</v>
      </c>
      <c r="G122" s="39" t="s">
        <v>20</v>
      </c>
      <c r="H122" s="39" t="s">
        <v>20</v>
      </c>
      <c r="I122" s="41">
        <v>67022.399999999994</v>
      </c>
    </row>
    <row r="123" spans="1:9" hidden="1" x14ac:dyDescent="0.2">
      <c r="A123" s="35" t="s">
        <v>81</v>
      </c>
      <c r="B123" s="42">
        <v>-205821.3</v>
      </c>
      <c r="C123" s="37">
        <v>81256.100000000035</v>
      </c>
      <c r="D123" s="37">
        <v>249308.5</v>
      </c>
      <c r="E123" s="32">
        <f>+-48350-5381.5</f>
        <v>-53731.5</v>
      </c>
      <c r="F123" s="36">
        <f t="shared" si="7"/>
        <v>71011.800000000047</v>
      </c>
      <c r="G123" s="39" t="s">
        <v>20</v>
      </c>
      <c r="H123" s="39" t="s">
        <v>20</v>
      </c>
      <c r="I123" s="41">
        <v>71011.199999999997</v>
      </c>
    </row>
    <row r="124" spans="1:9" hidden="1" x14ac:dyDescent="0.2">
      <c r="A124" s="35" t="s">
        <v>82</v>
      </c>
      <c r="B124" s="42">
        <v>-211683.7</v>
      </c>
      <c r="C124" s="37">
        <v>118133.79999999987</v>
      </c>
      <c r="D124" s="37">
        <v>229474</v>
      </c>
      <c r="E124" s="32">
        <f>+-46993.1-3546.2</f>
        <v>-50539.299999999996</v>
      </c>
      <c r="F124" s="36">
        <f t="shared" si="7"/>
        <v>85384.799999999872</v>
      </c>
      <c r="G124" s="39" t="s">
        <v>20</v>
      </c>
      <c r="H124" s="39" t="s">
        <v>20</v>
      </c>
      <c r="I124" s="41">
        <v>85384.8</v>
      </c>
    </row>
    <row r="125" spans="1:9" hidden="1" x14ac:dyDescent="0.2">
      <c r="A125" s="35"/>
      <c r="B125" s="42"/>
      <c r="C125" s="37"/>
      <c r="D125" s="37"/>
      <c r="E125" s="75"/>
      <c r="F125" s="36"/>
      <c r="G125" s="39"/>
      <c r="H125" s="39"/>
      <c r="I125" s="41"/>
    </row>
    <row r="126" spans="1:9" hidden="1" x14ac:dyDescent="0.2">
      <c r="A126" s="35" t="s">
        <v>62</v>
      </c>
      <c r="B126" s="42">
        <v>-202030.1</v>
      </c>
      <c r="C126" s="37">
        <v>102196.3000000001</v>
      </c>
      <c r="D126" s="37">
        <v>210861.1</v>
      </c>
      <c r="E126" s="32">
        <f>-42832.1-2444.7</f>
        <v>-45276.799999999996</v>
      </c>
      <c r="F126" s="36">
        <f t="shared" si="7"/>
        <v>65750.500000000116</v>
      </c>
      <c r="G126" s="39" t="s">
        <v>20</v>
      </c>
      <c r="H126" s="39" t="s">
        <v>20</v>
      </c>
      <c r="I126" s="41">
        <v>65750.5</v>
      </c>
    </row>
    <row r="127" spans="1:9" hidden="1" x14ac:dyDescent="0.2">
      <c r="A127" s="35" t="s">
        <v>85</v>
      </c>
      <c r="B127" s="42">
        <v>-199255.9</v>
      </c>
      <c r="C127" s="37">
        <f>89941.5+1198.4</f>
        <v>91139.9</v>
      </c>
      <c r="D127" s="37">
        <v>214143.2</v>
      </c>
      <c r="E127" s="32">
        <f>-44019-2918.3</f>
        <v>-46937.3</v>
      </c>
      <c r="F127" s="36">
        <f t="shared" ref="F127" si="8">B127+C127+D127+E127</f>
        <v>59089.900000000009</v>
      </c>
      <c r="G127" s="39">
        <v>2029.8</v>
      </c>
      <c r="H127" s="39" t="s">
        <v>20</v>
      </c>
      <c r="I127" s="41">
        <v>61119.7</v>
      </c>
    </row>
    <row r="128" spans="1:9" hidden="1" x14ac:dyDescent="0.2">
      <c r="A128" s="35" t="s">
        <v>59</v>
      </c>
      <c r="B128" s="42">
        <v>-201300.8</v>
      </c>
      <c r="C128" s="37">
        <f>93820.2+1198.4</f>
        <v>95018.599999999991</v>
      </c>
      <c r="D128" s="37">
        <v>243395.1</v>
      </c>
      <c r="E128" s="32">
        <f>-39099-1021.5</f>
        <v>-40120.5</v>
      </c>
      <c r="F128" s="36">
        <f t="shared" ref="F128" si="9">B128+C128+D128+E128</f>
        <v>96992.400000000023</v>
      </c>
      <c r="G128" s="39">
        <v>2239.9</v>
      </c>
      <c r="H128" s="39">
        <v>27200</v>
      </c>
      <c r="I128" s="41">
        <v>72032.3</v>
      </c>
    </row>
    <row r="129" spans="1:9" hidden="1" x14ac:dyDescent="0.2">
      <c r="A129" s="85" t="s">
        <v>87</v>
      </c>
      <c r="B129" s="42">
        <v>-208491.1</v>
      </c>
      <c r="C129" s="37">
        <v>95155.5</v>
      </c>
      <c r="D129" s="37">
        <v>245992.6</v>
      </c>
      <c r="E129" s="32">
        <f>-40815.4-3099.1</f>
        <v>-43914.5</v>
      </c>
      <c r="F129" s="36">
        <f t="shared" ref="F129" si="10">B129+C129+D129+E129</f>
        <v>88742.5</v>
      </c>
      <c r="G129" s="39">
        <v>1914.8</v>
      </c>
      <c r="H129" s="39" t="s">
        <v>20</v>
      </c>
      <c r="I129" s="41">
        <v>90657.3</v>
      </c>
    </row>
    <row r="130" spans="1:9" hidden="1" x14ac:dyDescent="0.2">
      <c r="A130" s="85" t="s">
        <v>88</v>
      </c>
      <c r="B130" s="42">
        <v>-217664.2</v>
      </c>
      <c r="C130" s="37">
        <v>85924</v>
      </c>
      <c r="D130" s="37">
        <v>267704</v>
      </c>
      <c r="E130" s="32">
        <f>-39102.5-1730.3</f>
        <v>-40832.800000000003</v>
      </c>
      <c r="F130" s="36">
        <f t="shared" ref="F130" si="11">B130+C130+D130+E130</f>
        <v>95130.999999999985</v>
      </c>
      <c r="G130" s="39">
        <v>1914.8</v>
      </c>
      <c r="H130" s="39" t="s">
        <v>20</v>
      </c>
      <c r="I130" s="41">
        <v>97046.7</v>
      </c>
    </row>
    <row r="131" spans="1:9" hidden="1" x14ac:dyDescent="0.2">
      <c r="A131" s="35" t="s">
        <v>89</v>
      </c>
      <c r="B131" s="42">
        <v>-223781.8</v>
      </c>
      <c r="C131" s="37">
        <v>89071.5</v>
      </c>
      <c r="D131" s="37">
        <v>282645.40000000002</v>
      </c>
      <c r="E131" s="32">
        <f>-41531.4-6365</f>
        <v>-47896.4</v>
      </c>
      <c r="F131" s="36">
        <f t="shared" ref="F131" si="12">B131+C131+D131+E131</f>
        <v>100038.70000000004</v>
      </c>
      <c r="G131" s="39">
        <v>1914.8</v>
      </c>
      <c r="H131" s="39" t="s">
        <v>20</v>
      </c>
      <c r="I131" s="41">
        <v>101953.5</v>
      </c>
    </row>
    <row r="132" spans="1:9" hidden="1" x14ac:dyDescent="0.2">
      <c r="A132" s="35" t="s">
        <v>68</v>
      </c>
      <c r="B132" s="42">
        <v>-239726</v>
      </c>
      <c r="C132" s="37">
        <v>70600.399999999994</v>
      </c>
      <c r="D132" s="37">
        <v>301711.59999999998</v>
      </c>
      <c r="E132" s="32">
        <f>-40297.2-6742.7</f>
        <v>-47039.899999999994</v>
      </c>
      <c r="F132" s="36">
        <f t="shared" ref="F132" si="13">B132+C132+D132+E132</f>
        <v>85546.099999999977</v>
      </c>
      <c r="G132" s="39">
        <v>1914.8</v>
      </c>
      <c r="H132" s="39" t="s">
        <v>20</v>
      </c>
      <c r="I132" s="41">
        <v>87460.9</v>
      </c>
    </row>
    <row r="133" spans="1:9" hidden="1" x14ac:dyDescent="0.2">
      <c r="A133" s="35" t="s">
        <v>90</v>
      </c>
      <c r="B133" s="42">
        <v>-234022.8</v>
      </c>
      <c r="C133" s="37">
        <v>82609.899999999994</v>
      </c>
      <c r="D133" s="37">
        <v>286595.5</v>
      </c>
      <c r="E133" s="32">
        <f>-38724.6-2878.3</f>
        <v>-41602.9</v>
      </c>
      <c r="F133" s="36">
        <f t="shared" ref="F133" si="14">B133+C133+D133+E133</f>
        <v>93579.700000000012</v>
      </c>
      <c r="G133" s="39">
        <v>2000</v>
      </c>
      <c r="H133" s="39" t="s">
        <v>20</v>
      </c>
      <c r="I133" s="41">
        <v>95579.7</v>
      </c>
    </row>
    <row r="134" spans="1:9" hidden="1" x14ac:dyDescent="0.2">
      <c r="A134" s="35" t="s">
        <v>91</v>
      </c>
      <c r="B134" s="42">
        <v>-222708</v>
      </c>
      <c r="C134" s="37">
        <v>142837.29999999999</v>
      </c>
      <c r="D134" s="37">
        <v>195393.9</v>
      </c>
      <c r="E134" s="32">
        <f>-32430.9-2133.6</f>
        <v>-34564.5</v>
      </c>
      <c r="F134" s="36">
        <f t="shared" ref="F134" si="15">B134+C134+D134+E134</f>
        <v>80958.699999999983</v>
      </c>
      <c r="G134" s="39">
        <v>2231.9</v>
      </c>
      <c r="H134" s="39" t="s">
        <v>20</v>
      </c>
      <c r="I134" s="41">
        <v>83190.600000000006</v>
      </c>
    </row>
    <row r="135" spans="1:9" hidden="1" x14ac:dyDescent="0.2">
      <c r="A135" s="35" t="s">
        <v>92</v>
      </c>
      <c r="B135" s="42">
        <v>-222327.4</v>
      </c>
      <c r="C135" s="37">
        <v>138959.6</v>
      </c>
      <c r="D135" s="37">
        <v>263497.2</v>
      </c>
      <c r="E135" s="32">
        <f>-39646-5723.4</f>
        <v>-45369.4</v>
      </c>
      <c r="F135" s="36">
        <f t="shared" ref="F135" si="16">B135+C135+D135+E135</f>
        <v>134760.00000000003</v>
      </c>
      <c r="G135" s="39">
        <v>2000</v>
      </c>
      <c r="H135" s="39" t="s">
        <v>20</v>
      </c>
      <c r="I135" s="41">
        <v>136760</v>
      </c>
    </row>
    <row r="136" spans="1:9" hidden="1" x14ac:dyDescent="0.2">
      <c r="A136" s="35" t="s">
        <v>93</v>
      </c>
      <c r="B136" s="42">
        <v>-219197.7</v>
      </c>
      <c r="C136" s="37">
        <v>134061.1</v>
      </c>
      <c r="D136" s="37">
        <v>227911.7</v>
      </c>
      <c r="E136" s="32">
        <f>-36273.6-1651.9</f>
        <v>-37925.5</v>
      </c>
      <c r="F136" s="36">
        <f t="shared" ref="F136" si="17">B136+C136+D136+E136</f>
        <v>104849.60000000001</v>
      </c>
      <c r="G136" s="39">
        <v>2565.8000000000002</v>
      </c>
      <c r="H136" s="39" t="s">
        <v>20</v>
      </c>
      <c r="I136" s="41">
        <v>107415.4</v>
      </c>
    </row>
    <row r="137" spans="1:9" hidden="1" x14ac:dyDescent="0.2">
      <c r="A137" s="35" t="s">
        <v>95</v>
      </c>
      <c r="B137" s="42">
        <v>-227340.9</v>
      </c>
      <c r="C137" s="37">
        <v>128675.9</v>
      </c>
      <c r="D137" s="37">
        <v>263591.09999999998</v>
      </c>
      <c r="E137" s="32">
        <f>-41670.1-3535.9</f>
        <v>-45206</v>
      </c>
      <c r="F137" s="36">
        <f t="shared" ref="F137" si="18">B137+C137+D137+E137</f>
        <v>119720.09999999998</v>
      </c>
      <c r="G137" s="39">
        <v>2000</v>
      </c>
      <c r="H137" s="39" t="s">
        <v>20</v>
      </c>
      <c r="I137" s="41">
        <v>121720.1</v>
      </c>
    </row>
    <row r="138" spans="1:9" hidden="1" x14ac:dyDescent="0.2">
      <c r="A138" s="35"/>
      <c r="B138" s="42"/>
      <c r="C138" s="37"/>
      <c r="D138" s="37"/>
      <c r="E138" s="32"/>
      <c r="F138" s="36"/>
      <c r="G138" s="39"/>
      <c r="H138" s="39"/>
      <c r="I138" s="41"/>
    </row>
    <row r="139" spans="1:9" hidden="1" x14ac:dyDescent="0.2">
      <c r="A139" s="35" t="s">
        <v>74</v>
      </c>
      <c r="B139" s="42">
        <v>-221881.2</v>
      </c>
      <c r="C139" s="37">
        <v>127066.1</v>
      </c>
      <c r="D139" s="37">
        <v>219315.20000000001</v>
      </c>
      <c r="E139" s="32">
        <f>-32786.1-2641.8</f>
        <v>-35427.9</v>
      </c>
      <c r="F139" s="36">
        <f t="shared" ref="F139" si="19">B139+C139+D139+E139</f>
        <v>89072.200000000012</v>
      </c>
      <c r="G139" s="39">
        <v>2463.6999999999998</v>
      </c>
      <c r="H139" s="39" t="s">
        <v>20</v>
      </c>
      <c r="I139" s="41">
        <v>91535.9</v>
      </c>
    </row>
    <row r="140" spans="1:9" hidden="1" x14ac:dyDescent="0.2">
      <c r="A140" s="35" t="s">
        <v>98</v>
      </c>
      <c r="B140" s="42">
        <v>-223869.8</v>
      </c>
      <c r="C140" s="37">
        <v>122551</v>
      </c>
      <c r="D140" s="37">
        <v>266706.90000000002</v>
      </c>
      <c r="E140" s="32">
        <f>-31817.8-4130.5</f>
        <v>-35948.300000000003</v>
      </c>
      <c r="F140" s="36">
        <f t="shared" ref="F140" si="20">B140+C140+D140+E140</f>
        <v>129439.80000000003</v>
      </c>
      <c r="G140" s="39">
        <v>2000</v>
      </c>
      <c r="H140" s="39" t="s">
        <v>20</v>
      </c>
      <c r="I140" s="41">
        <v>131439.79999999999</v>
      </c>
    </row>
    <row r="141" spans="1:9" hidden="1" x14ac:dyDescent="0.2">
      <c r="A141" s="35" t="s">
        <v>60</v>
      </c>
      <c r="B141" s="42">
        <v>-223176.6</v>
      </c>
      <c r="C141" s="37">
        <v>115526.39999999999</v>
      </c>
      <c r="D141" s="37">
        <v>215693.9</v>
      </c>
      <c r="E141" s="32">
        <f>-33506.9-4069.8</f>
        <v>-37576.700000000004</v>
      </c>
      <c r="F141" s="36">
        <f t="shared" ref="F141" si="21">B141+C141+D141+E141</f>
        <v>70466.999999999971</v>
      </c>
      <c r="G141" s="39">
        <v>3178.9</v>
      </c>
      <c r="H141" s="39" t="s">
        <v>20</v>
      </c>
      <c r="I141" s="41">
        <v>73645.899999999994</v>
      </c>
    </row>
    <row r="142" spans="1:9" hidden="1" x14ac:dyDescent="0.2">
      <c r="A142" s="35" t="s">
        <v>101</v>
      </c>
      <c r="B142" s="42">
        <v>-238022.8</v>
      </c>
      <c r="C142" s="37">
        <v>93523.4</v>
      </c>
      <c r="D142" s="37">
        <v>242062.8</v>
      </c>
      <c r="E142" s="32">
        <f>-30729.6-4705.5</f>
        <v>-35435.1</v>
      </c>
      <c r="F142" s="36">
        <f t="shared" ref="F142" si="22">B142+C142+D142+E142</f>
        <v>62128.299999999996</v>
      </c>
      <c r="G142" s="39">
        <v>12000</v>
      </c>
      <c r="H142" s="39" t="s">
        <v>20</v>
      </c>
      <c r="I142" s="41">
        <v>74128.3</v>
      </c>
    </row>
    <row r="143" spans="1:9" hidden="1" x14ac:dyDescent="0.2">
      <c r="A143" s="35" t="s">
        <v>102</v>
      </c>
      <c r="B143" s="42">
        <v>-248023.4</v>
      </c>
      <c r="C143" s="37">
        <v>96969.1</v>
      </c>
      <c r="D143" s="37">
        <v>258484.9</v>
      </c>
      <c r="E143" s="32">
        <f>-33868.9-5077.9</f>
        <v>-38946.800000000003</v>
      </c>
      <c r="F143" s="36">
        <f t="shared" ref="F143" si="23">B143+C143+D143+E143</f>
        <v>68483.8</v>
      </c>
      <c r="G143" s="39">
        <v>2911.5</v>
      </c>
      <c r="H143" s="39" t="s">
        <v>20</v>
      </c>
      <c r="I143" s="41">
        <v>71395.3</v>
      </c>
    </row>
    <row r="144" spans="1:9" hidden="1" x14ac:dyDescent="0.2">
      <c r="A144" s="35" t="s">
        <v>103</v>
      </c>
      <c r="B144" s="42">
        <v>-254961.4</v>
      </c>
      <c r="C144" s="37">
        <v>11927.5</v>
      </c>
      <c r="D144" s="37">
        <v>318199.59999999998</v>
      </c>
      <c r="E144" s="32">
        <f>-27843.4-3620.6</f>
        <v>-31464</v>
      </c>
      <c r="F144" s="36">
        <f t="shared" ref="F144" si="24">B144+C144+D144+E144</f>
        <v>43701.699999999983</v>
      </c>
      <c r="G144" s="39">
        <v>22000</v>
      </c>
      <c r="H144" s="39" t="s">
        <v>20</v>
      </c>
      <c r="I144" s="41">
        <v>65701.7</v>
      </c>
    </row>
    <row r="145" spans="1:9" hidden="1" x14ac:dyDescent="0.2">
      <c r="A145" s="35" t="s">
        <v>104</v>
      </c>
      <c r="B145" s="42">
        <v>-238905.2</v>
      </c>
      <c r="C145" s="37">
        <v>-2305.6</v>
      </c>
      <c r="D145" s="37">
        <v>340759.7</v>
      </c>
      <c r="E145" s="32">
        <f>-21794.4-2912.2</f>
        <v>-24706.600000000002</v>
      </c>
      <c r="F145" s="36">
        <f t="shared" ref="F145" si="25">B145+C145+D145+E145</f>
        <v>74842.299999999988</v>
      </c>
      <c r="G145" s="39">
        <v>8000</v>
      </c>
      <c r="H145" s="39" t="s">
        <v>20</v>
      </c>
      <c r="I145" s="41">
        <v>82842.3</v>
      </c>
    </row>
    <row r="146" spans="1:9" hidden="1" x14ac:dyDescent="0.2">
      <c r="A146" s="35" t="s">
        <v>105</v>
      </c>
      <c r="B146" s="42">
        <v>-230953.7</v>
      </c>
      <c r="C146" s="37">
        <v>-43032.3</v>
      </c>
      <c r="D146" s="37">
        <v>375105.6</v>
      </c>
      <c r="E146" s="32">
        <f>-18758.8-1485.9</f>
        <v>-20244.7</v>
      </c>
      <c r="F146" s="36">
        <f t="shared" ref="F146" si="26">B146+C146+D146+E146</f>
        <v>80874.89999999998</v>
      </c>
      <c r="G146" s="39">
        <v>12000</v>
      </c>
      <c r="H146" s="39" t="s">
        <v>20</v>
      </c>
      <c r="I146" s="41">
        <v>92874.9</v>
      </c>
    </row>
    <row r="147" spans="1:9" hidden="1" x14ac:dyDescent="0.2">
      <c r="A147" s="35" t="s">
        <v>70</v>
      </c>
      <c r="B147" s="42">
        <v>-216072.1</v>
      </c>
      <c r="C147" s="37">
        <v>-77050.100000000006</v>
      </c>
      <c r="D147" s="37">
        <v>398227.1</v>
      </c>
      <c r="E147" s="32">
        <f>-19780.1-8638</f>
        <v>-28418.1</v>
      </c>
      <c r="F147" s="36">
        <f t="shared" ref="F147" si="27">B147+C147+D147+E147</f>
        <v>76686.799999999959</v>
      </c>
      <c r="G147" s="39">
        <v>6840.3</v>
      </c>
      <c r="H147" s="39" t="s">
        <v>20</v>
      </c>
      <c r="I147" s="41">
        <v>83527.100000000006</v>
      </c>
    </row>
    <row r="148" spans="1:9" hidden="1" x14ac:dyDescent="0.2">
      <c r="A148" s="35" t="s">
        <v>106</v>
      </c>
      <c r="B148" s="42">
        <v>-225234.3</v>
      </c>
      <c r="C148" s="37">
        <v>-58413.9</v>
      </c>
      <c r="D148" s="37">
        <v>430637.3</v>
      </c>
      <c r="E148" s="32">
        <f>-27154.1-6395.9</f>
        <v>-33550</v>
      </c>
      <c r="F148" s="36">
        <f t="shared" ref="F148" si="28">B148+C148+D148+E148</f>
        <v>113439.09999999998</v>
      </c>
      <c r="G148" s="39">
        <v>2000</v>
      </c>
      <c r="H148" s="39" t="s">
        <v>20</v>
      </c>
      <c r="I148" s="41">
        <v>115439.1</v>
      </c>
    </row>
    <row r="149" spans="1:9" hidden="1" x14ac:dyDescent="0.2">
      <c r="A149" s="35" t="s">
        <v>107</v>
      </c>
      <c r="B149" s="42">
        <v>-221763.4</v>
      </c>
      <c r="C149" s="37">
        <v>-112837.1</v>
      </c>
      <c r="D149" s="37">
        <v>437738.6</v>
      </c>
      <c r="E149" s="32">
        <f>-24385.6-4726.9</f>
        <v>-29112.5</v>
      </c>
      <c r="F149" s="36">
        <f t="shared" ref="F149" si="29">B149+C149+D149+E149</f>
        <v>74025.599999999977</v>
      </c>
      <c r="G149" s="39">
        <v>18493.2</v>
      </c>
      <c r="H149" s="39" t="s">
        <v>20</v>
      </c>
      <c r="I149" s="41">
        <v>92518.8</v>
      </c>
    </row>
    <row r="150" spans="1:9" hidden="1" x14ac:dyDescent="0.2">
      <c r="A150" s="35" t="s">
        <v>109</v>
      </c>
      <c r="B150" s="42">
        <v>-230723.7</v>
      </c>
      <c r="C150" s="37">
        <v>-132985.60000000001</v>
      </c>
      <c r="D150" s="37">
        <v>452581.6</v>
      </c>
      <c r="E150" s="32">
        <f>-19763.3-4348.5</f>
        <v>-24111.8</v>
      </c>
      <c r="F150" s="36">
        <f t="shared" ref="F150" si="30">B150+C150+D150+E150</f>
        <v>64760.499999999927</v>
      </c>
      <c r="G150" s="39">
        <v>21800</v>
      </c>
      <c r="H150" s="39" t="s">
        <v>20</v>
      </c>
      <c r="I150" s="41">
        <v>86560.5</v>
      </c>
    </row>
    <row r="151" spans="1:9" hidden="1" x14ac:dyDescent="0.2">
      <c r="A151" s="35"/>
      <c r="B151" s="42"/>
      <c r="C151" s="37"/>
      <c r="D151" s="37"/>
      <c r="E151" s="32"/>
      <c r="F151" s="36"/>
      <c r="G151" s="39"/>
      <c r="H151" s="39"/>
      <c r="I151" s="41"/>
    </row>
    <row r="152" spans="1:9" hidden="1" x14ac:dyDescent="0.2">
      <c r="A152" s="35" t="s">
        <v>83</v>
      </c>
      <c r="B152" s="42">
        <v>-226455.9</v>
      </c>
      <c r="C152" s="37">
        <v>-135856</v>
      </c>
      <c r="D152" s="37">
        <v>440990.7</v>
      </c>
      <c r="E152" s="32">
        <f>-17061.6-2382.5</f>
        <v>-19444.099999999999</v>
      </c>
      <c r="F152" s="36">
        <f t="shared" ref="F152" si="31">B152+C152+D152+E152</f>
        <v>59234.69999999999</v>
      </c>
      <c r="G152" s="39">
        <v>39705</v>
      </c>
      <c r="H152" s="39" t="s">
        <v>20</v>
      </c>
      <c r="I152" s="41">
        <v>98939.7</v>
      </c>
    </row>
    <row r="153" spans="1:9" hidden="1" x14ac:dyDescent="0.2">
      <c r="A153" s="35" t="s">
        <v>112</v>
      </c>
      <c r="B153" s="42">
        <v>-228222</v>
      </c>
      <c r="C153" s="37">
        <v>-166598.1</v>
      </c>
      <c r="D153" s="37">
        <v>468504.3</v>
      </c>
      <c r="E153" s="32">
        <f>-25311.4-9144.2</f>
        <v>-34455.600000000006</v>
      </c>
      <c r="F153" s="36">
        <f t="shared" ref="F153" si="32">B153+C153+D153+E153</f>
        <v>39228.600000000006</v>
      </c>
      <c r="G153" s="39">
        <v>45964.800000000003</v>
      </c>
      <c r="H153" s="39" t="s">
        <v>20</v>
      </c>
      <c r="I153" s="41">
        <v>85193.4</v>
      </c>
    </row>
    <row r="154" spans="1:9" hidden="1" x14ac:dyDescent="0.2">
      <c r="A154" s="35" t="s">
        <v>86</v>
      </c>
      <c r="B154" s="42">
        <v>-219964.2</v>
      </c>
      <c r="C154" s="37">
        <v>-194954</v>
      </c>
      <c r="D154" s="37">
        <v>453694.6</v>
      </c>
      <c r="E154" s="32">
        <f>-12796-2793.9</f>
        <v>-15589.9</v>
      </c>
      <c r="F154" s="36">
        <f t="shared" ref="F154" si="33">B154+C154+D154+E154</f>
        <v>23186.499999999964</v>
      </c>
      <c r="G154" s="39">
        <v>73850</v>
      </c>
      <c r="H154" s="39" t="s">
        <v>20</v>
      </c>
      <c r="I154" s="41">
        <v>97036.5</v>
      </c>
    </row>
    <row r="155" spans="1:9" s="83" customFormat="1" hidden="1" x14ac:dyDescent="0.2">
      <c r="A155" s="85" t="s">
        <v>116</v>
      </c>
      <c r="B155" s="90">
        <v>-230212</v>
      </c>
      <c r="C155" s="87">
        <v>-175516.2</v>
      </c>
      <c r="D155" s="87">
        <v>456044.3</v>
      </c>
      <c r="E155" s="84">
        <f>-6819.1-3167.7</f>
        <v>-9986.7999999999993</v>
      </c>
      <c r="F155" s="86">
        <f t="shared" ref="F155" si="34">B155+C155+D155+E155</f>
        <v>40329.299999999974</v>
      </c>
      <c r="G155" s="88">
        <v>74200</v>
      </c>
      <c r="H155" s="88" t="s">
        <v>20</v>
      </c>
      <c r="I155" s="89">
        <v>114529.3</v>
      </c>
    </row>
    <row r="156" spans="1:9" s="83" customFormat="1" hidden="1" x14ac:dyDescent="0.2">
      <c r="A156" s="85" t="s">
        <v>118</v>
      </c>
      <c r="B156" s="90">
        <v>-230195.9</v>
      </c>
      <c r="C156" s="87">
        <v>-195743.4</v>
      </c>
      <c r="D156" s="87">
        <v>474258.1</v>
      </c>
      <c r="E156" s="84">
        <f>-16432.5-7690.2</f>
        <v>-24122.7</v>
      </c>
      <c r="F156" s="86">
        <f t="shared" ref="F156:F184" si="35">B156+C156+D156+E156</f>
        <v>24196.099999999988</v>
      </c>
      <c r="G156" s="88">
        <v>84000</v>
      </c>
      <c r="H156" s="88" t="s">
        <v>20</v>
      </c>
      <c r="I156" s="89">
        <v>108196.1</v>
      </c>
    </row>
    <row r="157" spans="1:9" s="83" customFormat="1" hidden="1" x14ac:dyDescent="0.2">
      <c r="A157" s="85" t="s">
        <v>119</v>
      </c>
      <c r="B157" s="90">
        <v>-255415.5</v>
      </c>
      <c r="C157" s="87">
        <v>-186003.4</v>
      </c>
      <c r="D157" s="87">
        <v>457106.4</v>
      </c>
      <c r="E157" s="84">
        <f>-4287.5-13814.7</f>
        <v>-18102.2</v>
      </c>
      <c r="F157" s="86">
        <f t="shared" si="35"/>
        <v>-2414.7000000000007</v>
      </c>
      <c r="G157" s="88">
        <v>103000</v>
      </c>
      <c r="H157" s="88" t="s">
        <v>20</v>
      </c>
      <c r="I157" s="89">
        <v>100585.3</v>
      </c>
    </row>
    <row r="158" spans="1:9" s="83" customFormat="1" x14ac:dyDescent="0.2">
      <c r="A158" s="85" t="s">
        <v>121</v>
      </c>
      <c r="B158" s="90">
        <v>-265902.59999999998</v>
      </c>
      <c r="C158" s="87">
        <v>-186226.3</v>
      </c>
      <c r="D158" s="87">
        <v>464133.8</v>
      </c>
      <c r="E158" s="84">
        <f>-5173.3-16530.8</f>
        <v>-21704.1</v>
      </c>
      <c r="F158" s="86">
        <f t="shared" si="35"/>
        <v>-9699.1999999999753</v>
      </c>
      <c r="G158" s="88">
        <v>113437</v>
      </c>
      <c r="H158" s="88" t="s">
        <v>20</v>
      </c>
      <c r="I158" s="89">
        <v>103737.8</v>
      </c>
    </row>
    <row r="159" spans="1:9" s="83" customFormat="1" x14ac:dyDescent="0.2">
      <c r="A159" s="85" t="s">
        <v>69</v>
      </c>
      <c r="B159" s="90">
        <v>-259211.2</v>
      </c>
      <c r="C159" s="87">
        <v>-192550.6</v>
      </c>
      <c r="D159" s="87">
        <v>464665.4</v>
      </c>
      <c r="E159" s="84">
        <f>-4689.8-12030.1</f>
        <v>-16719.900000000001</v>
      </c>
      <c r="F159" s="86">
        <f t="shared" si="35"/>
        <v>-3816.3000000000247</v>
      </c>
      <c r="G159" s="88">
        <v>103883</v>
      </c>
      <c r="H159" s="88" t="s">
        <v>20</v>
      </c>
      <c r="I159" s="89">
        <v>100066.7</v>
      </c>
    </row>
    <row r="160" spans="1:9" s="83" customFormat="1" x14ac:dyDescent="0.2">
      <c r="A160" s="85" t="s">
        <v>70</v>
      </c>
      <c r="B160" s="90">
        <v>-254499.1</v>
      </c>
      <c r="C160" s="87">
        <v>-181601</v>
      </c>
      <c r="D160" s="87">
        <v>457923.6</v>
      </c>
      <c r="E160" s="84">
        <f>-4906.1-9322.9</f>
        <v>-14229</v>
      </c>
      <c r="F160" s="86">
        <f t="shared" si="35"/>
        <v>7594.5</v>
      </c>
      <c r="G160" s="88">
        <v>120705</v>
      </c>
      <c r="H160" s="88" t="s">
        <v>20</v>
      </c>
      <c r="I160" s="89">
        <v>128299.5</v>
      </c>
    </row>
    <row r="161" spans="1:9" s="83" customFormat="1" x14ac:dyDescent="0.2">
      <c r="A161" s="85" t="s">
        <v>71</v>
      </c>
      <c r="B161" s="90">
        <v>-254519.8</v>
      </c>
      <c r="C161" s="87">
        <v>-181634.8</v>
      </c>
      <c r="D161" s="87">
        <v>470608.2</v>
      </c>
      <c r="E161" s="84">
        <f>-3511.1-18135.1</f>
        <v>-21646.199999999997</v>
      </c>
      <c r="F161" s="86">
        <f t="shared" si="35"/>
        <v>12807.400000000038</v>
      </c>
      <c r="G161" s="88">
        <v>103274</v>
      </c>
      <c r="H161" s="88" t="s">
        <v>20</v>
      </c>
      <c r="I161" s="89">
        <v>116081.4</v>
      </c>
    </row>
    <row r="162" spans="1:9" s="83" customFormat="1" x14ac:dyDescent="0.2">
      <c r="A162" s="85" t="s">
        <v>72</v>
      </c>
      <c r="B162" s="90">
        <v>-255283.4</v>
      </c>
      <c r="C162" s="87">
        <v>-174078</v>
      </c>
      <c r="D162" s="87">
        <v>494743.1</v>
      </c>
      <c r="E162" s="84">
        <f>-8980.1-31229</f>
        <v>-40209.1</v>
      </c>
      <c r="F162" s="86">
        <f t="shared" si="35"/>
        <v>25172.599999999955</v>
      </c>
      <c r="G162" s="88">
        <v>103050</v>
      </c>
      <c r="H162" s="88" t="s">
        <v>20</v>
      </c>
      <c r="I162" s="89">
        <v>128222.6</v>
      </c>
    </row>
    <row r="163" spans="1:9" s="83" customFormat="1" x14ac:dyDescent="0.2">
      <c r="A163" s="85" t="s">
        <v>73</v>
      </c>
      <c r="B163" s="90">
        <v>-267512.5</v>
      </c>
      <c r="C163" s="87">
        <v>-162073.79999999999</v>
      </c>
      <c r="D163" s="87">
        <v>509226.2</v>
      </c>
      <c r="E163" s="84">
        <f>-6489.8-24271.6</f>
        <v>-30761.399999999998</v>
      </c>
      <c r="F163" s="86">
        <f t="shared" si="35"/>
        <v>48878.500000000029</v>
      </c>
      <c r="G163" s="88">
        <v>89000</v>
      </c>
      <c r="H163" s="88" t="s">
        <v>20</v>
      </c>
      <c r="I163" s="89">
        <v>137878.5</v>
      </c>
    </row>
    <row r="164" spans="1:9" s="83" customFormat="1" x14ac:dyDescent="0.2">
      <c r="A164" s="85"/>
      <c r="B164" s="90"/>
      <c r="C164" s="87"/>
      <c r="D164" s="87"/>
      <c r="E164" s="84"/>
      <c r="F164" s="86"/>
      <c r="G164" s="88"/>
      <c r="H164" s="88"/>
      <c r="I164" s="89"/>
    </row>
    <row r="165" spans="1:9" s="83" customFormat="1" x14ac:dyDescent="0.2">
      <c r="A165" s="85" t="s">
        <v>97</v>
      </c>
      <c r="B165" s="90">
        <v>-257413.7</v>
      </c>
      <c r="C165" s="87">
        <v>-140840.69999999992</v>
      </c>
      <c r="D165" s="87">
        <v>518823.9</v>
      </c>
      <c r="E165" s="84">
        <v>-44987.900000000009</v>
      </c>
      <c r="F165" s="86">
        <f t="shared" si="35"/>
        <v>75581.600000000108</v>
      </c>
      <c r="G165" s="88">
        <v>116936.4</v>
      </c>
      <c r="H165" s="88" t="s">
        <v>20</v>
      </c>
      <c r="I165" s="89">
        <v>192526.1</v>
      </c>
    </row>
    <row r="166" spans="1:9" s="83" customFormat="1" x14ac:dyDescent="0.2">
      <c r="A166" s="85" t="s">
        <v>63</v>
      </c>
      <c r="B166" s="90">
        <v>-258459.9</v>
      </c>
      <c r="C166" s="87">
        <v>-116167.00000000003</v>
      </c>
      <c r="D166" s="87">
        <v>494749</v>
      </c>
      <c r="E166" s="84">
        <v>-49348.899999999965</v>
      </c>
      <c r="F166" s="86">
        <f t="shared" si="35"/>
        <v>70773.200000000012</v>
      </c>
      <c r="G166" s="88">
        <v>96000</v>
      </c>
      <c r="H166" s="88" t="s">
        <v>20</v>
      </c>
      <c r="I166" s="89">
        <v>166781.29999999999</v>
      </c>
    </row>
    <row r="167" spans="1:9" s="83" customFormat="1" x14ac:dyDescent="0.2">
      <c r="A167" s="85" t="s">
        <v>64</v>
      </c>
      <c r="B167" s="90">
        <v>-267562.40000000002</v>
      </c>
      <c r="C167" s="87">
        <v>-133135.90000000002</v>
      </c>
      <c r="D167" s="87">
        <v>544205.1</v>
      </c>
      <c r="E167" s="84">
        <v>-62097.699999999968</v>
      </c>
      <c r="F167" s="86">
        <f t="shared" si="35"/>
        <v>81409.099999999962</v>
      </c>
      <c r="G167" s="88">
        <v>88840</v>
      </c>
      <c r="H167" s="88" t="s">
        <v>20</v>
      </c>
      <c r="I167" s="89">
        <v>170257.3</v>
      </c>
    </row>
    <row r="168" spans="1:9" s="83" customFormat="1" x14ac:dyDescent="0.2">
      <c r="A168" s="85" t="s">
        <v>65</v>
      </c>
      <c r="B168" s="90">
        <v>-269369.5</v>
      </c>
      <c r="C168" s="87">
        <v>-140187.20000000004</v>
      </c>
      <c r="D168" s="87">
        <v>534377.29999999993</v>
      </c>
      <c r="E168" s="84">
        <v>-63272.3</v>
      </c>
      <c r="F168" s="86">
        <f t="shared" si="35"/>
        <v>61548.299999999857</v>
      </c>
      <c r="G168" s="88">
        <v>101000</v>
      </c>
      <c r="H168" s="88" t="s">
        <v>20</v>
      </c>
      <c r="I168" s="89">
        <v>162556.5</v>
      </c>
    </row>
    <row r="169" spans="1:9" s="83" customFormat="1" x14ac:dyDescent="0.2">
      <c r="A169" s="85" t="s">
        <v>66</v>
      </c>
      <c r="B169" s="90">
        <v>-276838.09999999998</v>
      </c>
      <c r="C169" s="87">
        <v>-104424.49999999997</v>
      </c>
      <c r="D169" s="87">
        <v>505175.30000000005</v>
      </c>
      <c r="E169" s="84">
        <v>-71402.700000000012</v>
      </c>
      <c r="F169" s="86">
        <f t="shared" si="35"/>
        <v>52510.000000000058</v>
      </c>
      <c r="G169" s="88">
        <v>101165.4</v>
      </c>
      <c r="H169" s="88" t="s">
        <v>20</v>
      </c>
      <c r="I169" s="89">
        <v>153683.5</v>
      </c>
    </row>
    <row r="170" spans="1:9" s="83" customFormat="1" x14ac:dyDescent="0.2">
      <c r="A170" s="85" t="s">
        <v>67</v>
      </c>
      <c r="B170" s="90">
        <v>-301775.5</v>
      </c>
      <c r="C170" s="87">
        <v>-140476.99999999997</v>
      </c>
      <c r="D170" s="87">
        <v>542983.60000000009</v>
      </c>
      <c r="E170" s="84">
        <v>-66884.000000000015</v>
      </c>
      <c r="F170" s="86">
        <f t="shared" si="35"/>
        <v>33847.100000000079</v>
      </c>
      <c r="G170" s="88">
        <v>70737.5</v>
      </c>
      <c r="H170" s="88" t="s">
        <v>20</v>
      </c>
      <c r="I170" s="89">
        <v>104584.6</v>
      </c>
    </row>
    <row r="171" spans="1:9" s="83" customFormat="1" x14ac:dyDescent="0.2">
      <c r="A171" s="85" t="s">
        <v>68</v>
      </c>
      <c r="B171" s="90">
        <v>-304085.59999999998</v>
      </c>
      <c r="C171" s="87">
        <v>-165541.40000000002</v>
      </c>
      <c r="D171" s="87">
        <v>517423.09999999992</v>
      </c>
      <c r="E171" s="84">
        <v>-61611.099999999962</v>
      </c>
      <c r="F171" s="86">
        <f t="shared" si="35"/>
        <v>-13815.000000000044</v>
      </c>
      <c r="G171" s="88">
        <v>112898.5</v>
      </c>
      <c r="H171" s="88" t="s">
        <v>20</v>
      </c>
      <c r="I171" s="89">
        <v>99083.5</v>
      </c>
    </row>
    <row r="172" spans="1:9" s="83" customFormat="1" x14ac:dyDescent="0.2">
      <c r="A172" s="85" t="s">
        <v>69</v>
      </c>
      <c r="B172" s="90">
        <v>-307668.59999999998</v>
      </c>
      <c r="C172" s="87">
        <v>-141377.29999999999</v>
      </c>
      <c r="D172" s="87">
        <v>527189.89999999991</v>
      </c>
      <c r="E172" s="84">
        <v>-42270.7</v>
      </c>
      <c r="F172" s="86">
        <f t="shared" si="35"/>
        <v>35873.299999999945</v>
      </c>
      <c r="G172" s="88">
        <v>107910</v>
      </c>
      <c r="H172" s="88" t="s">
        <v>20</v>
      </c>
      <c r="I172" s="89">
        <v>143783.29999999999</v>
      </c>
    </row>
    <row r="173" spans="1:9" s="83" customFormat="1" x14ac:dyDescent="0.2">
      <c r="A173" s="85" t="s">
        <v>70</v>
      </c>
      <c r="B173" s="90">
        <v>-297683.09999999998</v>
      </c>
      <c r="C173" s="87">
        <v>-134023.79999999999</v>
      </c>
      <c r="D173" s="87">
        <v>509123.6</v>
      </c>
      <c r="E173" s="84">
        <v>-41688.6</v>
      </c>
      <c r="F173" s="86">
        <f t="shared" si="35"/>
        <v>35728.100000000013</v>
      </c>
      <c r="G173" s="88">
        <v>123150</v>
      </c>
      <c r="H173" s="88" t="s">
        <v>20</v>
      </c>
      <c r="I173" s="89">
        <v>158878.1</v>
      </c>
    </row>
    <row r="174" spans="1:9" s="83" customFormat="1" x14ac:dyDescent="0.2">
      <c r="A174" s="85" t="s">
        <v>71</v>
      </c>
      <c r="B174" s="90">
        <v>-289035.90000000002</v>
      </c>
      <c r="C174" s="87">
        <v>-126420.5</v>
      </c>
      <c r="D174" s="87">
        <v>512627.1</v>
      </c>
      <c r="E174" s="84">
        <f>-19812.3-32991</f>
        <v>-52803.3</v>
      </c>
      <c r="F174" s="86">
        <f t="shared" si="35"/>
        <v>44367.399999999951</v>
      </c>
      <c r="G174" s="88">
        <v>118810</v>
      </c>
      <c r="H174" s="88" t="s">
        <v>20</v>
      </c>
      <c r="I174" s="89">
        <v>163177.4</v>
      </c>
    </row>
    <row r="175" spans="1:9" s="83" customFormat="1" x14ac:dyDescent="0.2">
      <c r="A175" s="85" t="s">
        <v>72</v>
      </c>
      <c r="B175" s="90">
        <v>-290455.59999999998</v>
      </c>
      <c r="C175" s="87">
        <v>-145157.29999999999</v>
      </c>
      <c r="D175" s="87">
        <v>504296.2</v>
      </c>
      <c r="E175" s="84">
        <f>-20699.8-18134.9</f>
        <v>-38834.699999999997</v>
      </c>
      <c r="F175" s="86">
        <f t="shared" si="35"/>
        <v>29848.600000000049</v>
      </c>
      <c r="G175" s="88">
        <v>134100</v>
      </c>
      <c r="H175" s="88" t="s">
        <v>20</v>
      </c>
      <c r="I175" s="89">
        <v>163948.6</v>
      </c>
    </row>
    <row r="176" spans="1:9" s="83" customFormat="1" x14ac:dyDescent="0.2">
      <c r="A176" s="85" t="s">
        <v>73</v>
      </c>
      <c r="B176" s="90">
        <v>-308146.3</v>
      </c>
      <c r="C176" s="87">
        <v>-144480.4</v>
      </c>
      <c r="D176" s="87">
        <v>528460.39999999991</v>
      </c>
      <c r="E176" s="84">
        <v>-12488.399999999958</v>
      </c>
      <c r="F176" s="86">
        <f t="shared" si="35"/>
        <v>63345.299999999996</v>
      </c>
      <c r="G176" s="88">
        <v>159990</v>
      </c>
      <c r="H176" s="88" t="s">
        <v>20</v>
      </c>
      <c r="I176" s="89">
        <v>223335.3</v>
      </c>
    </row>
    <row r="177" spans="1:10" s="83" customFormat="1" x14ac:dyDescent="0.2">
      <c r="A177" s="85"/>
      <c r="B177" s="90"/>
      <c r="C177" s="87"/>
      <c r="D177" s="87"/>
      <c r="E177" s="84"/>
      <c r="F177" s="86"/>
      <c r="G177" s="88"/>
      <c r="H177" s="88"/>
      <c r="I177" s="89"/>
    </row>
    <row r="178" spans="1:10" s="83" customFormat="1" x14ac:dyDescent="0.2">
      <c r="A178" s="85" t="s">
        <v>110</v>
      </c>
      <c r="B178" s="90">
        <v>-293218</v>
      </c>
      <c r="C178" s="87">
        <v>-165010.80000000005</v>
      </c>
      <c r="D178" s="87">
        <v>495587.20000000007</v>
      </c>
      <c r="E178" s="84">
        <v>-6706.9000000000015</v>
      </c>
      <c r="F178" s="86">
        <f t="shared" si="35"/>
        <v>30651.500000000022</v>
      </c>
      <c r="G178" s="88">
        <v>174680</v>
      </c>
      <c r="H178" s="88" t="s">
        <v>20</v>
      </c>
      <c r="I178" s="89">
        <v>205331.5</v>
      </c>
    </row>
    <row r="179" spans="1:10" s="83" customFormat="1" x14ac:dyDescent="0.2">
      <c r="A179" s="85" t="s">
        <v>111</v>
      </c>
      <c r="B179" s="90">
        <v>-298489.90000000002</v>
      </c>
      <c r="C179" s="87">
        <v>-136269.4</v>
      </c>
      <c r="D179" s="87">
        <v>492047.40000000008</v>
      </c>
      <c r="E179" s="84">
        <v>-38518.900000000031</v>
      </c>
      <c r="F179" s="86">
        <f t="shared" si="35"/>
        <v>18769.200000000004</v>
      </c>
      <c r="G179" s="88">
        <v>172670</v>
      </c>
      <c r="H179" s="88" t="s">
        <v>20</v>
      </c>
      <c r="I179" s="89">
        <v>191439.2</v>
      </c>
    </row>
    <row r="180" spans="1:10" s="83" customFormat="1" x14ac:dyDescent="0.2">
      <c r="A180" s="85" t="s">
        <v>114</v>
      </c>
      <c r="B180" s="90">
        <v>-302042.8</v>
      </c>
      <c r="C180" s="87">
        <v>-180504.6</v>
      </c>
      <c r="D180" s="87">
        <v>484199.3</v>
      </c>
      <c r="E180" s="84">
        <v>-33650.400000000023</v>
      </c>
      <c r="F180" s="86">
        <f t="shared" si="35"/>
        <v>-31998.500000000058</v>
      </c>
      <c r="G180" s="88">
        <v>185103.2</v>
      </c>
      <c r="H180" s="88" t="s">
        <v>20</v>
      </c>
      <c r="I180" s="89">
        <v>153104.70000000001</v>
      </c>
    </row>
    <row r="181" spans="1:10" s="83" customFormat="1" x14ac:dyDescent="0.2">
      <c r="A181" s="85" t="s">
        <v>115</v>
      </c>
      <c r="B181" s="90">
        <v>-300253.3</v>
      </c>
      <c r="C181" s="87">
        <v>-152710.89999999997</v>
      </c>
      <c r="D181" s="87">
        <v>440070.80000000005</v>
      </c>
      <c r="E181" s="84">
        <v>-28336.200000000015</v>
      </c>
      <c r="F181" s="86">
        <f t="shared" si="35"/>
        <v>-41229.599999999919</v>
      </c>
      <c r="G181" s="88">
        <v>242832.2</v>
      </c>
      <c r="H181" s="88" t="s">
        <v>20</v>
      </c>
      <c r="I181" s="89">
        <v>201602.6</v>
      </c>
    </row>
    <row r="182" spans="1:10" s="83" customFormat="1" x14ac:dyDescent="0.2">
      <c r="A182" s="85" t="s">
        <v>117</v>
      </c>
      <c r="B182" s="90">
        <v>-305467.7</v>
      </c>
      <c r="C182" s="87">
        <v>-172751.39999999997</v>
      </c>
      <c r="D182" s="87">
        <v>437935.50000000006</v>
      </c>
      <c r="E182" s="84">
        <v>-12608.9</v>
      </c>
      <c r="F182" s="86">
        <f t="shared" si="35"/>
        <v>-52892.49999999992</v>
      </c>
      <c r="G182" s="88">
        <v>240220</v>
      </c>
      <c r="H182" s="88" t="s">
        <v>20</v>
      </c>
      <c r="I182" s="89">
        <v>187327.5</v>
      </c>
    </row>
    <row r="183" spans="1:10" s="83" customFormat="1" x14ac:dyDescent="0.2">
      <c r="A183" s="85" t="s">
        <v>58</v>
      </c>
      <c r="B183" s="90">
        <v>-334282.7</v>
      </c>
      <c r="C183" s="87">
        <v>-175279.09999999998</v>
      </c>
      <c r="D183" s="87">
        <v>408472.6</v>
      </c>
      <c r="E183" s="84">
        <v>-18794.399999999994</v>
      </c>
      <c r="F183" s="86">
        <f t="shared" si="35"/>
        <v>-119883.6</v>
      </c>
      <c r="G183" s="88">
        <v>283075.3</v>
      </c>
      <c r="H183" s="88" t="s">
        <v>20</v>
      </c>
      <c r="I183" s="89">
        <v>163191.69999999998</v>
      </c>
    </row>
    <row r="184" spans="1:10" s="83" customFormat="1" x14ac:dyDescent="0.2">
      <c r="A184" s="85" t="s">
        <v>120</v>
      </c>
      <c r="B184" s="90">
        <v>-333488.59999999998</v>
      </c>
      <c r="C184" s="87">
        <v>-174985.1</v>
      </c>
      <c r="D184" s="87">
        <v>418299.7</v>
      </c>
      <c r="E184" s="84">
        <v>-10622.800000000017</v>
      </c>
      <c r="F184" s="86">
        <f t="shared" si="35"/>
        <v>-100796.79999999996</v>
      </c>
      <c r="G184" s="88">
        <v>290770</v>
      </c>
      <c r="H184" s="88" t="s">
        <v>20</v>
      </c>
      <c r="I184" s="89">
        <v>189973.2</v>
      </c>
    </row>
    <row r="185" spans="1:10" x14ac:dyDescent="0.2">
      <c r="A185" s="43"/>
      <c r="B185" s="44"/>
      <c r="C185" s="45"/>
      <c r="D185" s="45"/>
      <c r="E185" s="77"/>
      <c r="F185" s="46"/>
      <c r="G185" s="47"/>
      <c r="H185" s="47"/>
      <c r="I185" s="48"/>
    </row>
    <row r="186" spans="1:10" x14ac:dyDescent="0.2">
      <c r="A186" s="82"/>
      <c r="B186" s="31"/>
      <c r="C186" s="78"/>
      <c r="D186" s="78"/>
      <c r="E186" s="78"/>
      <c r="F186" s="49"/>
      <c r="G186" s="31"/>
      <c r="H186" s="31"/>
      <c r="I186" s="50"/>
      <c r="J186" s="51"/>
    </row>
    <row r="187" spans="1:10" ht="15" customHeight="1" x14ac:dyDescent="0.2">
      <c r="A187" s="91" t="s">
        <v>52</v>
      </c>
      <c r="B187" s="11"/>
      <c r="C187" s="61"/>
      <c r="D187" s="61"/>
      <c r="E187" s="61"/>
      <c r="F187" s="12"/>
      <c r="G187" s="11"/>
      <c r="H187" s="11"/>
      <c r="I187" s="13"/>
      <c r="J187" s="52"/>
    </row>
    <row r="188" spans="1:10" x14ac:dyDescent="0.2">
      <c r="A188" s="53"/>
      <c r="J188" s="51"/>
    </row>
    <row r="189" spans="1:10" x14ac:dyDescent="0.2">
      <c r="A189" s="55"/>
      <c r="B189" s="56"/>
      <c r="C189" s="80"/>
      <c r="D189" s="80"/>
      <c r="E189" s="80"/>
      <c r="F189" s="57"/>
      <c r="G189" s="56"/>
      <c r="H189" s="56"/>
      <c r="I189" s="56"/>
      <c r="J189" s="52"/>
    </row>
    <row r="190" spans="1:10" x14ac:dyDescent="0.2">
      <c r="A190" s="51"/>
      <c r="J190" s="51"/>
    </row>
    <row r="191" spans="1:10" x14ac:dyDescent="0.2">
      <c r="A191" s="51"/>
      <c r="J191" s="51"/>
    </row>
    <row r="192" spans="1:10" x14ac:dyDescent="0.2">
      <c r="A192" s="51"/>
      <c r="J192" s="51"/>
    </row>
    <row r="193" spans="1:10" x14ac:dyDescent="0.2">
      <c r="A193" s="51"/>
      <c r="J193" s="51"/>
    </row>
    <row r="194" spans="1:10" x14ac:dyDescent="0.2">
      <c r="A194" s="51"/>
      <c r="B194" s="51"/>
      <c r="C194" s="81"/>
      <c r="D194" s="81"/>
      <c r="E194" s="81"/>
      <c r="F194" s="58"/>
      <c r="G194" s="51"/>
      <c r="H194" s="51"/>
      <c r="I194" s="51"/>
      <c r="J194" s="51"/>
    </row>
    <row r="195" spans="1:10" x14ac:dyDescent="0.2">
      <c r="A195" s="51"/>
      <c r="B195" s="51"/>
      <c r="C195" s="81"/>
      <c r="D195" s="81"/>
      <c r="E195" s="81"/>
      <c r="F195" s="58"/>
      <c r="G195" s="51"/>
      <c r="H195" s="51"/>
      <c r="I195" s="51"/>
      <c r="J195" s="51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2017-07-11T06:10:09Z</cp:lastPrinted>
  <dcterms:created xsi:type="dcterms:W3CDTF">2000-09-13T06:17:48Z</dcterms:created>
  <dcterms:modified xsi:type="dcterms:W3CDTF">2018-10-08T08:37:10Z</dcterms:modified>
</cp:coreProperties>
</file>