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<sst xmlns="http://schemas.openxmlformats.org/spreadsheetml/2006/main" count="176" uniqueCount="111">
  <si>
    <t>Excel File Name:</t>
  </si>
  <si>
    <t>Available from Web Page:</t>
  </si>
  <si>
    <t>Total</t>
  </si>
  <si>
    <t>http://www.brb.bi/fr/content/finances-publiques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</si>
  <si>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</si>
  <si>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</si>
  <si>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</si>
  <si>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</si>
  <si>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Contents</t>
  </si>
  <si>
    <t>Tax Revenues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</si>
  <si>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</si>
  <si>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</si>
  <si>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</si>
  <si>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</si>
  <si>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</si>
  <si>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</si>
  <si>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Monthly Tax Revenues</t>
  </si>
  <si>
    <t>Quarterly</t>
  </si>
  <si>
    <t>Quarterly Tax Revenues</t>
  </si>
  <si>
    <t>Annual</t>
  </si>
  <si>
    <t>Annual Tax Revenues</t>
  </si>
  <si>
    <t>Publication date</t>
  </si>
  <si>
    <t>Tax Revenues.xls</t>
  </si>
  <si>
    <t>Tax revenue are given by the sum of Government revenue (Taxes collected)</t>
  </si>
  <si>
    <t>Taxes on income</t>
  </si>
  <si>
    <t xml:space="preserve">Corporations </t>
  </si>
  <si>
    <t>Individuals</t>
  </si>
  <si>
    <t>Other taxes</t>
  </si>
  <si>
    <t>Taxes on property</t>
  </si>
  <si>
    <t>Taxes on domestic trade</t>
  </si>
  <si>
    <t>Taxes on transaction</t>
  </si>
  <si>
    <t>Consumption taxes on fuel and tabacco</t>
  </si>
  <si>
    <t>Consumption tax on beer and sugar</t>
  </si>
  <si>
    <t>Taxes on international trade</t>
  </si>
  <si>
    <t xml:space="preserve">Taxes on imports </t>
  </si>
  <si>
    <t>Taxe on exports</t>
  </si>
  <si>
    <t>Others  taxes</t>
  </si>
  <si>
    <t>Other tax revenues</t>
  </si>
  <si>
    <t>Return to the contents</t>
  </si>
  <si>
    <t>Evolution of Tax Revenues</t>
  </si>
  <si>
    <t>Period                  Description</t>
  </si>
  <si>
    <t>Others tax revenues</t>
  </si>
  <si>
    <t>Tax revenues</t>
  </si>
  <si>
    <t>Previous  publication date</t>
  </si>
  <si>
    <t>Sources: Burundi Revenue Authority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</si>
  <si>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</si>
  <si>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</si>
  <si>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</si>
  <si>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</si>
  <si>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</si>
  <si>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</si>
  <si>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</si>
  <si>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</si>
  <si>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</si>
  <si>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</si>
  <si>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</si>
  <si>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</si>
  <si>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</si>
  <si>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</si>
  <si>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</si>
  <si>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</si>
  <si>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</si>
  <si>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</si>
  <si>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</si>
  <si>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</si>
  <si>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</si>
  <si>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</si>
  <si>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</si>
  <si>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</si>
  <si>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</si>
  <si>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2013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</si>
  <si>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2013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</si>
  <si>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2013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</si>
  <si>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2014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</si>
  <si>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2014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</si>
  <si>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2014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</si>
  <si>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2014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</si>
  <si>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</si>
  <si>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</si>
  <si>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</si>
  <si>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</si>
  <si>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</si>
  <si>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</si>
  <si>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</si>
  <si>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</si>
  <si>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</si>
  <si>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</si>
  <si>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</si>
  <si>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</si>
  <si>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</si>
  <si>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</si>
  <si>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</si>
  <si>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</si>
  <si>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</si>
  <si>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</si>
  <si>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</si>
  <si>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</si>
  <si>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</si>
  <si>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</si>
  <si>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</si>
  <si>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</si>
  <si>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</si>
  <si>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</si>
  <si>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2021</t>
    </r>
  </si>
  <si>
    <t>2021</t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</si>
  <si>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</si>
  <si>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</si>
  <si>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2022</t>
    </r>
  </si>
  <si>
    <t>September-2022</t>
  </si>
  <si>
    <t>Q3-2022</t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</si>
  <si>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2022</t>
    </r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</si>
</sst>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_)"/>
    <numFmt numFmtId="205" formatCode="0.0_)"/>
    <numFmt numFmtId="206" formatCode="#,##0.0_);\(#,##0.0\)"/>
    <numFmt numFmtId="207" formatCode="0.0"/>
    <numFmt numFmtId="208" formatCode="_ * #,##0.0_ ;_ * \-#,##0.0_ ;_ * &quot;-&quot;??_ ;_ @_ "/>
    <numFmt numFmtId="209" formatCode="#,##0.0"/>
    <numFmt numFmtId="210" formatCode="_-* #,##0.0\ _€_-;\-* #,##0.0\ _€_-;_-* &quot;-&quot;?\ _€_-;_-@_-"/>
    <numFmt numFmtId="211" formatCode="[$-40C]dddd\ d\ mmmm\ yyyy"/>
    <numFmt numFmtId="212" formatCode="[$-40C]mmmm\-yy;@"/>
    <numFmt numFmtId="213" formatCode="#,##0.0_ ;\-#,##0.0\ "/>
    <numFmt numFmtId="214" formatCode="[$-409]dd\-mmm\-yy;@"/>
    <numFmt numFmtId="215" formatCode="[$-409]mmm\-yy;@"/>
    <numFmt numFmtId="216" formatCode="[$-409]mmmm\-yy;@"/>
    <numFmt numFmtId="217" formatCode="mmm\-yyyy"/>
    <numFmt numFmtId="218" formatCode="dd/mm/yyyy;@"/>
    <numFmt numFmtId="219" formatCode="#,##0.0000"/>
  </numFmts>
  <fonts count="57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1" fillId="30" borderId="0" applyNumberFormat="0" applyBorder="0" applyAlignment="0" applyProtection="0"/>
    <xf numFmtId="9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9">
    <xf numFmtId="206" fontId="0" fillId="0" borderId="0" xfId="0" applyAlignment="1">
      <alignment/>
    </xf>
    <xf numFmtId="206" fontId="6" fillId="0" borderId="0" xfId="0" applyFont="1" applyBorder="1" applyAlignment="1">
      <alignment/>
    </xf>
    <xf numFmtId="209" fontId="6" fillId="0" borderId="10" xfId="0" applyNumberFormat="1" applyFont="1" applyBorder="1" applyAlignment="1">
      <alignment/>
    </xf>
    <xf numFmtId="209" fontId="6" fillId="0" borderId="10" xfId="47" applyNumberFormat="1" applyFont="1" applyBorder="1" applyAlignment="1">
      <alignment horizontal="right"/>
    </xf>
    <xf numFmtId="209" fontId="6" fillId="0" borderId="10" xfId="0" applyNumberFormat="1" applyFont="1" applyBorder="1" applyAlignment="1">
      <alignment horizontal="right"/>
    </xf>
    <xf numFmtId="209" fontId="6" fillId="0" borderId="10" xfId="47" applyNumberFormat="1" applyFont="1" applyBorder="1" applyAlignment="1">
      <alignment horizontal="right" wrapText="1"/>
    </xf>
    <xf numFmtId="206" fontId="6" fillId="0" borderId="10" xfId="0" applyFont="1" applyBorder="1" applyAlignment="1">
      <alignment/>
    </xf>
    <xf numFmtId="209" fontId="6" fillId="33" borderId="10" xfId="47" applyNumberFormat="1" applyFont="1" applyFill="1" applyBorder="1" applyAlignment="1">
      <alignment horizontal="right" wrapText="1"/>
    </xf>
    <xf numFmtId="209" fontId="6" fillId="0" borderId="10" xfId="45" applyNumberFormat="1" applyFont="1" applyBorder="1" applyAlignment="1" applyProtection="1">
      <alignment horizontal="right"/>
      <protection/>
    </xf>
    <xf numFmtId="206" fontId="25" fillId="0" borderId="0" xfId="0" applyFont="1" applyBorder="1" applyAlignment="1">
      <alignment horizontal="center"/>
    </xf>
    <xf numFmtId="206" fontId="51" fillId="0" borderId="0" xfId="0" applyFont="1" applyAlignment="1">
      <alignment/>
    </xf>
    <xf numFmtId="206" fontId="52" fillId="0" borderId="0" xfId="0" applyFont="1" applyAlignment="1">
      <alignment/>
    </xf>
    <xf numFmtId="206" fontId="53" fillId="0" borderId="0" xfId="0" applyFont="1" applyAlignment="1">
      <alignment/>
    </xf>
    <xf numFmtId="206" fontId="54" fillId="34" borderId="11" xfId="0" applyFont="1" applyFill="1" applyBorder="1" applyAlignment="1">
      <alignment/>
    </xf>
    <xf numFmtId="206" fontId="51" fillId="6" borderId="0" xfId="0" applyFont="1" applyFill="1" applyAlignment="1">
      <alignment/>
    </xf>
    <xf numFmtId="49" fontId="51" fillId="6" borderId="0" xfId="0" applyNumberFormat="1" applyFont="1" applyFill="1" applyAlignment="1">
      <alignment horizontal="right"/>
    </xf>
    <xf numFmtId="49" fontId="51" fillId="6" borderId="0" xfId="0" applyNumberFormat="1" applyFont="1" applyFill="1" applyAlignment="1" quotePrefix="1">
      <alignment horizontal="right"/>
    </xf>
    <xf numFmtId="206" fontId="55" fillId="6" borderId="12" xfId="0" applyFont="1" applyFill="1" applyBorder="1" applyAlignment="1">
      <alignment/>
    </xf>
    <xf numFmtId="206" fontId="51" fillId="6" borderId="12" xfId="0" applyFont="1" applyFill="1" applyBorder="1" applyAlignment="1">
      <alignment/>
    </xf>
    <xf numFmtId="214" fontId="51" fillId="0" borderId="0" xfId="0" applyNumberFormat="1" applyFont="1" applyAlignment="1">
      <alignment horizontal="left"/>
    </xf>
    <xf numFmtId="206" fontId="56" fillId="0" borderId="0" xfId="0" applyFont="1" applyBorder="1" applyAlignment="1">
      <alignment horizontal="center"/>
    </xf>
    <xf numFmtId="206" fontId="25" fillId="0" borderId="10" xfId="0" applyFont="1" applyBorder="1" applyAlignment="1">
      <alignment horizontal="center"/>
    </xf>
    <xf numFmtId="206" fontId="25" fillId="0" borderId="0" xfId="0" applyFont="1" applyAlignment="1">
      <alignment/>
    </xf>
    <xf numFmtId="206" fontId="25" fillId="0" borderId="0" xfId="0" applyFont="1" applyAlignment="1">
      <alignment horizontal="center"/>
    </xf>
    <xf numFmtId="206" fontId="25" fillId="0" borderId="0" xfId="0" applyFont="1" applyBorder="1" applyAlignment="1">
      <alignment/>
    </xf>
    <xf numFmtId="206" fontId="25" fillId="0" borderId="0" xfId="0" applyFont="1" applyBorder="1" applyAlignment="1" quotePrefix="1">
      <alignment/>
    </xf>
    <xf numFmtId="206" fontId="25" fillId="0" borderId="0" xfId="0" applyFont="1" applyBorder="1" applyAlignment="1">
      <alignment horizontal="fill"/>
    </xf>
    <xf numFmtId="0" fontId="25" fillId="0" borderId="10" xfId="0" applyNumberFormat="1" applyFont="1" applyBorder="1" applyAlignment="1">
      <alignment horizontal="left"/>
    </xf>
    <xf numFmtId="209" fontId="25" fillId="0" borderId="10" xfId="0" applyNumberFormat="1" applyFont="1" applyBorder="1" applyAlignment="1">
      <alignment/>
    </xf>
    <xf numFmtId="209" fontId="25" fillId="0" borderId="10" xfId="0" applyNumberFormat="1" applyFont="1" applyBorder="1" applyAlignment="1">
      <alignment horizontal="right"/>
    </xf>
    <xf numFmtId="209" fontId="25" fillId="0" borderId="10" xfId="47" applyNumberFormat="1" applyFont="1" applyBorder="1" applyAlignment="1">
      <alignment horizontal="right"/>
    </xf>
    <xf numFmtId="206" fontId="2" fillId="0" borderId="0" xfId="45" applyNumberFormat="1" applyAlignment="1" applyProtection="1">
      <alignment/>
      <protection/>
    </xf>
    <xf numFmtId="206" fontId="25" fillId="0" borderId="0" xfId="0" applyFont="1" applyBorder="1" applyAlignment="1">
      <alignment horizontal="center"/>
    </xf>
    <xf numFmtId="206" fontId="4" fillId="0" borderId="0" xfId="0" applyFont="1" applyAlignment="1">
      <alignment horizontal="justify" vertical="center"/>
    </xf>
    <xf numFmtId="207" fontId="6" fillId="0" borderId="10" xfId="47" applyNumberFormat="1" applyFont="1" applyBorder="1" applyAlignment="1">
      <alignment/>
    </xf>
    <xf numFmtId="213" fontId="6" fillId="0" borderId="10" xfId="47" applyNumberFormat="1" applyFont="1" applyBorder="1" applyAlignment="1">
      <alignment/>
    </xf>
    <xf numFmtId="208" fontId="6" fillId="0" borderId="10" xfId="47" applyNumberFormat="1" applyFont="1" applyBorder="1" applyAlignment="1">
      <alignment horizontal="right"/>
    </xf>
    <xf numFmtId="206" fontId="25" fillId="0" borderId="10" xfId="0" applyFont="1" applyBorder="1" applyAlignment="1" quotePrefix="1">
      <alignment/>
    </xf>
    <xf numFmtId="216" fontId="6" fillId="0" borderId="10" xfId="0" applyNumberFormat="1" applyFont="1" applyFill="1" applyBorder="1" applyAlignment="1" applyProtection="1" quotePrefix="1">
      <alignment horizontal="left"/>
      <protection/>
    </xf>
    <xf numFmtId="0" fontId="2" fillId="6" borderId="0" xfId="45" applyFill="1" applyAlignment="1" applyProtection="1">
      <alignment/>
      <protection/>
    </xf>
    <xf numFmtId="206" fontId="32" fillId="35" borderId="13" xfId="0" applyFont="1" applyFill="1" applyBorder="1" applyAlignment="1" quotePrefix="1">
      <alignment horizontal="center" vertical="center"/>
    </xf>
    <xf numFmtId="206" fontId="32" fillId="35" borderId="13" xfId="0" applyFont="1" applyFill="1" applyBorder="1" applyAlignment="1">
      <alignment horizontal="center" vertical="center" wrapText="1"/>
    </xf>
    <xf numFmtId="206" fontId="32" fillId="35" borderId="13" xfId="0" applyFont="1" applyFill="1" applyBorder="1" applyAlignment="1" quotePrefix="1">
      <alignment horizontal="center" vertical="center" wrapText="1"/>
    </xf>
    <xf numFmtId="206" fontId="32" fillId="35" borderId="13" xfId="0" applyFont="1" applyFill="1" applyBorder="1" applyAlignment="1">
      <alignment horizontal="center" vertical="center"/>
    </xf>
    <xf numFmtId="216" fontId="6" fillId="0" borderId="0" xfId="0" applyNumberFormat="1" applyFont="1" applyFill="1" applyBorder="1" applyAlignment="1" applyProtection="1" quotePrefix="1">
      <alignment horizontal="left"/>
      <protection/>
    </xf>
    <xf numFmtId="209" fontId="6" fillId="0" borderId="10" xfId="47" applyNumberFormat="1" applyFont="1" applyFill="1" applyBorder="1" applyAlignment="1">
      <alignment horizontal="right" wrapText="1"/>
    </xf>
    <xf numFmtId="209" fontId="6" fillId="0" borderId="10" xfId="0" applyNumberFormat="1" applyFont="1" applyFill="1" applyBorder="1" applyAlignment="1">
      <alignment/>
    </xf>
    <xf numFmtId="209" fontId="6" fillId="0" borderId="14" xfId="47" applyNumberFormat="1" applyFont="1" applyFill="1" applyBorder="1" applyAlignment="1">
      <alignment horizontal="right" wrapText="1"/>
    </xf>
    <xf numFmtId="209" fontId="6" fillId="0" borderId="14" xfId="0" applyNumberFormat="1" applyFont="1" applyFill="1" applyBorder="1" applyAlignment="1">
      <alignment/>
    </xf>
    <xf numFmtId="209" fontId="6" fillId="0" borderId="13" xfId="0" applyNumberFormat="1" applyFont="1" applyBorder="1" applyAlignment="1">
      <alignment horizontal="right"/>
    </xf>
    <xf numFmtId="209" fontId="6" fillId="0" borderId="13" xfId="0" applyNumberFormat="1" applyFont="1" applyFill="1" applyBorder="1" applyAlignment="1">
      <alignment/>
    </xf>
    <xf numFmtId="209" fontId="6" fillId="0" borderId="10" xfId="47" applyNumberFormat="1" applyFont="1" applyBorder="1" applyAlignment="1">
      <alignment horizontal="right" vertical="center"/>
    </xf>
    <xf numFmtId="216" fontId="6" fillId="0" borderId="10" xfId="0" applyNumberFormat="1" applyFont="1" applyFill="1" applyBorder="1" applyAlignment="1" applyProtection="1" quotePrefix="1">
      <alignment horizontal="left" vertical="center"/>
      <protection/>
    </xf>
    <xf numFmtId="209" fontId="6" fillId="0" borderId="10" xfId="0" applyNumberFormat="1" applyFont="1" applyFill="1" applyBorder="1" applyAlignment="1">
      <alignment horizontal="right"/>
    </xf>
    <xf numFmtId="206" fontId="0" fillId="0" borderId="0" xfId="0" applyAlignment="1">
      <alignment vertical="center"/>
    </xf>
    <xf numFmtId="209" fontId="6" fillId="0" borderId="13" xfId="47" applyNumberFormat="1" applyFont="1" applyFill="1" applyBorder="1" applyAlignment="1">
      <alignment horizontal="right" wrapText="1"/>
    </xf>
    <xf numFmtId="209" fontId="6" fillId="0" borderId="13" xfId="0" applyNumberFormat="1" applyFont="1" applyFill="1" applyBorder="1" applyAlignment="1">
      <alignment horizontal="right"/>
    </xf>
    <xf numFmtId="206" fontId="25" fillId="36" borderId="10" xfId="0" applyFont="1" applyFill="1" applyBorder="1" applyAlignment="1">
      <alignment horizontal="center"/>
    </xf>
    <xf numFmtId="204" fontId="33" fillId="0" borderId="10" xfId="0" applyNumberFormat="1" applyFont="1" applyBorder="1" applyAlignment="1" applyProtection="1">
      <alignment horizontal="left"/>
      <protection/>
    </xf>
    <xf numFmtId="206" fontId="32" fillId="35" borderId="13" xfId="0" applyFont="1" applyFill="1" applyBorder="1" applyAlignment="1">
      <alignment horizontal="center" vertical="center" wrapText="1"/>
    </xf>
    <xf numFmtId="206" fontId="32" fillId="35" borderId="15" xfId="0" applyFont="1" applyFill="1" applyBorder="1" applyAlignment="1">
      <alignment horizontal="center" vertical="center" wrapText="1"/>
    </xf>
    <xf numFmtId="206" fontId="32" fillId="0" borderId="0" xfId="0" applyFont="1" applyBorder="1" applyAlignment="1">
      <alignment horizontal="center"/>
    </xf>
    <xf numFmtId="206" fontId="32" fillId="35" borderId="10" xfId="0" applyFont="1" applyFill="1" applyBorder="1" applyAlignment="1">
      <alignment horizontal="center" vertical="center"/>
    </xf>
    <xf numFmtId="206" fontId="32" fillId="35" borderId="10" xfId="0" applyFont="1" applyFill="1" applyBorder="1" applyAlignment="1">
      <alignment horizontal="center" vertical="center" wrapText="1"/>
    </xf>
    <xf numFmtId="206" fontId="32" fillId="35" borderId="16" xfId="0" applyFont="1" applyFill="1" applyBorder="1" applyAlignment="1" quotePrefix="1">
      <alignment horizontal="center" vertical="center"/>
    </xf>
    <xf numFmtId="206" fontId="32" fillId="35" borderId="17" xfId="0" applyFont="1" applyFill="1" applyBorder="1" applyAlignment="1" quotePrefix="1">
      <alignment horizontal="center" vertical="center"/>
    </xf>
    <xf numFmtId="206" fontId="32" fillId="35" borderId="18" xfId="0" applyFont="1" applyFill="1" applyBorder="1" applyAlignment="1">
      <alignment horizontal="center" vertical="center"/>
    </xf>
    <xf numFmtId="206" fontId="32" fillId="35" borderId="19" xfId="0" applyFont="1" applyFill="1" applyBorder="1" applyAlignment="1">
      <alignment horizontal="center" vertical="center"/>
    </xf>
    <xf numFmtId="206" fontId="32" fillId="35" borderId="2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66675</xdr:rowOff>
    </xdr:from>
    <xdr:to>
      <xdr:col>1</xdr:col>
      <xdr:colOff>1362075</xdr:colOff>
      <xdr:row>2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666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78"/>
  <sheetViews>
    <sheetView zoomScalePageLayoutView="0" workbookViewId="0" topLeftCell="A1">
      <selection activeCell="E14" sqref="E14"/>
    </sheetView>
  </sheetViews>
  <sheetFormatPr defaultColWidth="8.88671875" defaultRowHeight="15.75"/>
  <cols>
    <col min="1" max="1" width="4.21484375" style="10" customWidth="1"/>
    <col min="2" max="2" width="68.6640625" style="10" bestFit="1" customWidth="1"/>
    <col min="3" max="3" width="46.10546875" style="10" bestFit="1" customWidth="1"/>
    <col min="4" max="4" width="17.10546875" style="10" bestFit="1" customWidth="1"/>
    <col min="5" max="5" width="24.5546875" style="10" customWidth="1"/>
    <col min="6" max="16384" width="8.88671875" style="10" customWidth="1"/>
  </cols>
  <sheetData>
    <row r="2" ht="15.75">
      <c r="B2" s="33" t="s">
        <v>4</v>
      </c>
    </row>
    <row r="3" spans="2:3" ht="15.75">
      <c r="B3" s="33" t="s">
        <v>5</v>
      </c>
      <c r="C3"/>
    </row>
    <row r="4" ht="15.75">
      <c r="B4" s="33" t="s">
        <v>6</v>
      </c>
    </row>
    <row r="5" ht="15.75">
      <c r="B5" s="33" t="s">
        <v>7</v>
      </c>
    </row>
    <row r="6" ht="15.75">
      <c r="B6" s="33"/>
    </row>
    <row r="7" ht="18.75">
      <c r="B7" s="11" t="s">
        <v>8</v>
      </c>
    </row>
    <row r="8" ht="18.75">
      <c r="B8" s="12" t="s">
        <v>9</v>
      </c>
    </row>
    <row r="10" ht="15.75">
      <c r="B10" s="10" t="s">
        <v>10</v>
      </c>
    </row>
    <row r="11" spans="2:5" ht="16.5" thickBot="1">
      <c r="B11" s="13" t="s">
        <v>11</v>
      </c>
      <c r="C11" s="13" t="s">
        <v>12</v>
      </c>
      <c r="D11" s="13" t="s">
        <v>13</v>
      </c>
      <c r="E11" s="13" t="s">
        <v>14</v>
      </c>
    </row>
    <row r="12" spans="2:5" ht="15.75">
      <c r="B12" s="39" t="s">
        <v>15</v>
      </c>
      <c r="C12" s="14" t="s">
        <v>16</v>
      </c>
      <c r="D12" s="14" t="s">
        <v>15</v>
      </c>
      <c r="E12" s="15" t="s">
        <v>108</v>
      </c>
    </row>
    <row r="13" spans="2:5" ht="15.75">
      <c r="B13" s="39" t="s">
        <v>17</v>
      </c>
      <c r="C13" s="14" t="s">
        <v>18</v>
      </c>
      <c r="D13" s="14" t="s">
        <v>17</v>
      </c>
      <c r="E13" s="15" t="s">
        <v>109</v>
      </c>
    </row>
    <row r="14" spans="2:5" ht="15.75">
      <c r="B14" s="39" t="s">
        <v>19</v>
      </c>
      <c r="C14" s="14" t="s">
        <v>20</v>
      </c>
      <c r="D14" s="14" t="s">
        <v>19</v>
      </c>
      <c r="E14" s="16" t="s">
        <v>104</v>
      </c>
    </row>
    <row r="15" spans="2:5" ht="16.5" thickBot="1">
      <c r="B15" s="17"/>
      <c r="C15" s="18"/>
      <c r="D15" s="18"/>
      <c r="E15" s="18"/>
    </row>
    <row r="17" spans="2:3" ht="15.75">
      <c r="B17" s="10" t="s">
        <v>21</v>
      </c>
      <c r="C17" s="19"/>
    </row>
    <row r="18" spans="2:3" ht="15.75">
      <c r="B18" s="10" t="s">
        <v>43</v>
      </c>
      <c r="C18" s="19"/>
    </row>
    <row r="20" spans="2:3" ht="15.75">
      <c r="B20" s="10" t="s">
        <v>0</v>
      </c>
      <c r="C20" s="10" t="s">
        <v>22</v>
      </c>
    </row>
    <row r="21" spans="2:3" ht="15.75">
      <c r="B21" s="10" t="s">
        <v>1</v>
      </c>
      <c r="C21" s="31" t="s">
        <v>3</v>
      </c>
    </row>
    <row r="24" ht="15.75">
      <c r="B24" s="20" t="s">
        <v>23</v>
      </c>
    </row>
    <row r="25" spans="2:3" ht="18.75">
      <c r="B25" s="57" t="s">
        <v>24</v>
      </c>
      <c r="C25" s="37" t="s">
        <v>25</v>
      </c>
    </row>
    <row r="26" spans="2:3" ht="18.75">
      <c r="B26" s="57"/>
      <c r="C26" s="21" t="s">
        <v>26</v>
      </c>
    </row>
    <row r="27" spans="2:3" ht="18.75">
      <c r="B27" s="57"/>
      <c r="C27" s="37" t="s">
        <v>27</v>
      </c>
    </row>
    <row r="28" spans="2:3" ht="18.75">
      <c r="B28" s="57"/>
      <c r="C28" s="37" t="s">
        <v>2</v>
      </c>
    </row>
    <row r="29" spans="2:3" ht="18.75">
      <c r="B29" s="57" t="s">
        <v>28</v>
      </c>
      <c r="C29" s="57"/>
    </row>
    <row r="30" spans="2:3" ht="18.75">
      <c r="B30" s="57" t="s">
        <v>29</v>
      </c>
      <c r="C30" s="21" t="s">
        <v>30</v>
      </c>
    </row>
    <row r="31" spans="2:3" ht="18.75">
      <c r="B31" s="57"/>
      <c r="C31" s="21" t="s">
        <v>31</v>
      </c>
    </row>
    <row r="32" spans="2:3" ht="18.75">
      <c r="B32" s="57"/>
      <c r="C32" s="37" t="s">
        <v>32</v>
      </c>
    </row>
    <row r="33" spans="2:3" ht="18.75">
      <c r="B33" s="57"/>
      <c r="C33" s="37" t="s">
        <v>2</v>
      </c>
    </row>
    <row r="34" spans="2:3" ht="18.75">
      <c r="B34" s="57" t="s">
        <v>33</v>
      </c>
      <c r="C34" s="37" t="s">
        <v>34</v>
      </c>
    </row>
    <row r="35" spans="2:3" ht="18.75">
      <c r="B35" s="57"/>
      <c r="C35" s="37" t="s">
        <v>35</v>
      </c>
    </row>
    <row r="36" spans="2:3" ht="18.75">
      <c r="B36" s="57"/>
      <c r="C36" s="37" t="s">
        <v>36</v>
      </c>
    </row>
    <row r="37" spans="2:3" ht="18.75">
      <c r="B37" s="57"/>
      <c r="C37" s="37" t="s">
        <v>2</v>
      </c>
    </row>
    <row r="38" spans="2:3" ht="18.75">
      <c r="B38" s="57" t="s">
        <v>37</v>
      </c>
      <c r="C38" s="57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  <row r="273" spans="2:3" ht="15.75">
      <c r="B273"/>
      <c r="C273"/>
    </row>
    <row r="274" spans="2:3" ht="15.75">
      <c r="B274"/>
      <c r="C274"/>
    </row>
    <row r="275" spans="2:3" ht="15.75">
      <c r="B275"/>
      <c r="C275"/>
    </row>
    <row r="276" spans="2:3" ht="15.75">
      <c r="B276"/>
      <c r="C276"/>
    </row>
    <row r="277" spans="2:3" ht="15.75">
      <c r="B277"/>
      <c r="C277"/>
    </row>
    <row r="278" spans="2:3" ht="15.75">
      <c r="B278"/>
      <c r="C278"/>
    </row>
  </sheetData>
  <sheetProtection/>
  <mergeCells count="5">
    <mergeCell ref="B25:B28"/>
    <mergeCell ref="B29:C29"/>
    <mergeCell ref="B30:B33"/>
    <mergeCell ref="B34:B37"/>
    <mergeCell ref="B38:C38"/>
  </mergeCells>
  <hyperlinks>
    <hyperlink ref="B12" location="Monthly!A1" display="Monthly"/>
    <hyperlink ref="B13" location="Quarterly!A1" display="Quarterly"/>
    <hyperlink ref="B14" location="Annual!A1" display="Annual"/>
    <hyperlink ref="C21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20"/>
  <sheetViews>
    <sheetView tabSelected="1" zoomScalePageLayoutView="0" workbookViewId="0" topLeftCell="A1">
      <pane xSplit="1" ySplit="6" topLeftCell="G2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219" sqref="P219"/>
    </sheetView>
  </sheetViews>
  <sheetFormatPr defaultColWidth="8.88671875" defaultRowHeight="15.75"/>
  <cols>
    <col min="1" max="1" width="27.5546875" style="22" customWidth="1"/>
    <col min="2" max="2" width="13.21484375" style="22" customWidth="1"/>
    <col min="3" max="3" width="13.5546875" style="22" customWidth="1"/>
    <col min="4" max="4" width="14.3359375" style="22" customWidth="1"/>
    <col min="5" max="5" width="11.5546875" style="22" customWidth="1"/>
    <col min="6" max="6" width="13.10546875" style="22" customWidth="1"/>
    <col min="7" max="7" width="13.3359375" style="22" customWidth="1"/>
    <col min="8" max="8" width="15.10546875" style="22" customWidth="1"/>
    <col min="9" max="9" width="20.10546875" style="22" customWidth="1"/>
    <col min="10" max="10" width="17.10546875" style="22" customWidth="1"/>
    <col min="11" max="11" width="15.3359375" style="22" customWidth="1"/>
    <col min="12" max="12" width="13.99609375" style="22" customWidth="1"/>
    <col min="13" max="13" width="10.21484375" style="22" bestFit="1" customWidth="1"/>
    <col min="14" max="14" width="9.88671875" style="22" customWidth="1"/>
    <col min="15" max="15" width="12.99609375" style="22" customWidth="1"/>
    <col min="16" max="16" width="12.6640625" style="22" bestFit="1" customWidth="1"/>
    <col min="17" max="16384" width="8.88671875" style="22" customWidth="1"/>
  </cols>
  <sheetData>
    <row r="1" ht="18.75">
      <c r="A1" s="31" t="s">
        <v>38</v>
      </c>
    </row>
    <row r="2" spans="6:9" s="24" customFormat="1" ht="18.75">
      <c r="F2" s="32"/>
      <c r="I2" s="44"/>
    </row>
    <row r="3" spans="1:16" ht="18.75">
      <c r="A3" s="24"/>
      <c r="B3" s="61" t="s">
        <v>39</v>
      </c>
      <c r="C3" s="61"/>
      <c r="D3" s="61"/>
      <c r="E3" s="61"/>
      <c r="F3" s="61"/>
      <c r="G3" s="61"/>
      <c r="H3" s="61"/>
      <c r="I3" s="61"/>
      <c r="J3" s="24"/>
      <c r="K3" s="24"/>
      <c r="L3" s="24"/>
      <c r="M3" s="24"/>
      <c r="N3" s="24"/>
      <c r="O3" s="24"/>
      <c r="P3" s="24"/>
    </row>
    <row r="4" spans="1:16" ht="18.75">
      <c r="A4" s="24"/>
      <c r="B4" s="9"/>
      <c r="C4" s="9"/>
      <c r="D4" s="9"/>
      <c r="E4" s="24"/>
      <c r="F4" s="9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20.25" customHeight="1">
      <c r="A5" s="64" t="s">
        <v>40</v>
      </c>
      <c r="B5" s="62" t="s">
        <v>24</v>
      </c>
      <c r="C5" s="62"/>
      <c r="D5" s="62"/>
      <c r="E5" s="62"/>
      <c r="F5" s="63" t="s">
        <v>28</v>
      </c>
      <c r="G5" s="66" t="s">
        <v>29</v>
      </c>
      <c r="H5" s="67"/>
      <c r="I5" s="67"/>
      <c r="J5" s="68"/>
      <c r="K5" s="66" t="s">
        <v>33</v>
      </c>
      <c r="L5" s="67"/>
      <c r="M5" s="67"/>
      <c r="N5" s="68"/>
      <c r="O5" s="59" t="s">
        <v>41</v>
      </c>
      <c r="P5" s="59" t="s">
        <v>42</v>
      </c>
    </row>
    <row r="6" spans="1:16" ht="96.75" customHeight="1">
      <c r="A6" s="65"/>
      <c r="B6" s="40" t="s">
        <v>25</v>
      </c>
      <c r="C6" s="41" t="s">
        <v>26</v>
      </c>
      <c r="D6" s="40" t="s">
        <v>27</v>
      </c>
      <c r="E6" s="40" t="s">
        <v>2</v>
      </c>
      <c r="F6" s="59"/>
      <c r="G6" s="41" t="s">
        <v>30</v>
      </c>
      <c r="H6" s="41" t="s">
        <v>31</v>
      </c>
      <c r="I6" s="42" t="s">
        <v>32</v>
      </c>
      <c r="J6" s="43" t="s">
        <v>2</v>
      </c>
      <c r="K6" s="43" t="s">
        <v>34</v>
      </c>
      <c r="L6" s="43" t="s">
        <v>35</v>
      </c>
      <c r="M6" s="42" t="s">
        <v>36</v>
      </c>
      <c r="N6" s="40" t="s">
        <v>2</v>
      </c>
      <c r="O6" s="60"/>
      <c r="P6" s="60"/>
    </row>
    <row r="7" spans="1:16" s="1" customFormat="1" ht="15.75">
      <c r="A7" s="38">
        <v>38353</v>
      </c>
      <c r="B7" s="3">
        <v>2193.8</v>
      </c>
      <c r="C7" s="2">
        <v>1250.2</v>
      </c>
      <c r="D7" s="2">
        <v>669.1</v>
      </c>
      <c r="E7" s="2">
        <f aca="true" t="shared" si="0" ref="E7:E29">+B7+C7+D7</f>
        <v>4113.1</v>
      </c>
      <c r="F7" s="4">
        <v>0</v>
      </c>
      <c r="G7" s="2">
        <v>3808</v>
      </c>
      <c r="H7" s="4">
        <v>129</v>
      </c>
      <c r="I7" s="2">
        <v>1977</v>
      </c>
      <c r="J7" s="2">
        <f aca="true" t="shared" si="1" ref="J7:J29">+G7+H7+I7</f>
        <v>5914</v>
      </c>
      <c r="K7" s="2">
        <v>1321.8</v>
      </c>
      <c r="L7" s="2">
        <v>8.4</v>
      </c>
      <c r="M7" s="2">
        <v>927.7</v>
      </c>
      <c r="N7" s="2">
        <f aca="true" t="shared" si="2" ref="N7:N29">+K7+L7+M7</f>
        <v>2257.9</v>
      </c>
      <c r="O7" s="2">
        <v>1286.21075</v>
      </c>
      <c r="P7" s="2">
        <f>O7+N7+J7+F7+E7</f>
        <v>13571.21075</v>
      </c>
    </row>
    <row r="8" spans="1:16" s="1" customFormat="1" ht="15.75">
      <c r="A8" s="38">
        <v>38384</v>
      </c>
      <c r="B8" s="3">
        <v>562.9</v>
      </c>
      <c r="C8" s="2">
        <v>820.5</v>
      </c>
      <c r="D8" s="2">
        <v>523</v>
      </c>
      <c r="E8" s="2">
        <f t="shared" si="0"/>
        <v>1906.4</v>
      </c>
      <c r="F8" s="4">
        <v>0</v>
      </c>
      <c r="G8" s="2">
        <v>2903.3</v>
      </c>
      <c r="H8" s="4">
        <v>129.9</v>
      </c>
      <c r="I8" s="2">
        <v>1584.6</v>
      </c>
      <c r="J8" s="2">
        <f t="shared" si="1"/>
        <v>4617.8</v>
      </c>
      <c r="K8" s="2">
        <v>1127.9</v>
      </c>
      <c r="L8" s="2">
        <v>7.2</v>
      </c>
      <c r="M8" s="2">
        <v>1013.9</v>
      </c>
      <c r="N8" s="2">
        <f t="shared" si="2"/>
        <v>2149</v>
      </c>
      <c r="O8" s="2">
        <v>1753.9</v>
      </c>
      <c r="P8" s="2">
        <f aca="true" t="shared" si="3" ref="P8:P71">O8+N8+J8+F8+E8</f>
        <v>10427.1</v>
      </c>
    </row>
    <row r="9" spans="1:16" s="1" customFormat="1" ht="15.75">
      <c r="A9" s="38">
        <v>38412</v>
      </c>
      <c r="B9" s="3">
        <v>3588.3</v>
      </c>
      <c r="C9" s="2">
        <v>1071.7</v>
      </c>
      <c r="D9" s="2">
        <v>863.8</v>
      </c>
      <c r="E9" s="2">
        <f t="shared" si="0"/>
        <v>5523.8</v>
      </c>
      <c r="F9" s="4">
        <v>0</v>
      </c>
      <c r="G9" s="2">
        <v>3864.9</v>
      </c>
      <c r="H9" s="4">
        <v>101.9</v>
      </c>
      <c r="I9" s="2">
        <v>2382.6</v>
      </c>
      <c r="J9" s="2">
        <f t="shared" si="1"/>
        <v>6349.4</v>
      </c>
      <c r="K9" s="2">
        <v>1689.3</v>
      </c>
      <c r="L9" s="2">
        <v>10.8</v>
      </c>
      <c r="M9" s="2">
        <v>1144.8</v>
      </c>
      <c r="N9" s="2">
        <f t="shared" si="2"/>
        <v>2844.8999999999996</v>
      </c>
      <c r="O9" s="2">
        <v>1552.6</v>
      </c>
      <c r="P9" s="2">
        <f t="shared" si="3"/>
        <v>16270.7</v>
      </c>
    </row>
    <row r="10" spans="1:16" s="1" customFormat="1" ht="15.75">
      <c r="A10" s="38">
        <v>38443</v>
      </c>
      <c r="B10" s="3">
        <v>3451</v>
      </c>
      <c r="C10" s="2">
        <v>952.8</v>
      </c>
      <c r="D10" s="2">
        <v>768.6</v>
      </c>
      <c r="E10" s="2">
        <f t="shared" si="0"/>
        <v>5172.400000000001</v>
      </c>
      <c r="F10" s="4">
        <v>0</v>
      </c>
      <c r="G10" s="2">
        <v>3914.6</v>
      </c>
      <c r="H10" s="4">
        <v>65.1</v>
      </c>
      <c r="I10" s="2">
        <v>1472.7</v>
      </c>
      <c r="J10" s="2">
        <f t="shared" si="1"/>
        <v>5452.4</v>
      </c>
      <c r="K10" s="2">
        <v>1508.7</v>
      </c>
      <c r="L10" s="2">
        <v>9.6</v>
      </c>
      <c r="M10" s="2">
        <v>1534.5</v>
      </c>
      <c r="N10" s="2">
        <f t="shared" si="2"/>
        <v>3052.8</v>
      </c>
      <c r="O10" s="2">
        <v>1766.1</v>
      </c>
      <c r="P10" s="2">
        <f t="shared" si="3"/>
        <v>15443.7</v>
      </c>
    </row>
    <row r="11" spans="1:16" s="1" customFormat="1" ht="15.75">
      <c r="A11" s="38">
        <v>38473</v>
      </c>
      <c r="B11" s="3">
        <v>631.8</v>
      </c>
      <c r="C11" s="2">
        <v>854.1</v>
      </c>
      <c r="D11" s="2">
        <v>593.9</v>
      </c>
      <c r="E11" s="2">
        <f t="shared" si="0"/>
        <v>2079.8</v>
      </c>
      <c r="F11" s="4">
        <v>0</v>
      </c>
      <c r="G11" s="2">
        <v>3362.5</v>
      </c>
      <c r="H11" s="4">
        <v>130.5</v>
      </c>
      <c r="I11" s="2">
        <v>1599.4</v>
      </c>
      <c r="J11" s="2">
        <f t="shared" si="1"/>
        <v>5092.4</v>
      </c>
      <c r="K11" s="2">
        <v>1304.2</v>
      </c>
      <c r="L11" s="2">
        <v>11.2</v>
      </c>
      <c r="M11" s="2">
        <v>861.4</v>
      </c>
      <c r="N11" s="2">
        <f t="shared" si="2"/>
        <v>2176.8</v>
      </c>
      <c r="O11" s="2">
        <v>1469.6</v>
      </c>
      <c r="P11" s="2">
        <f t="shared" si="3"/>
        <v>10818.599999999999</v>
      </c>
    </row>
    <row r="12" spans="1:16" s="1" customFormat="1" ht="15.75">
      <c r="A12" s="38">
        <v>38504</v>
      </c>
      <c r="B12" s="3">
        <v>1652.2</v>
      </c>
      <c r="C12" s="2">
        <v>982.2</v>
      </c>
      <c r="D12" s="2">
        <v>449.3</v>
      </c>
      <c r="E12" s="2">
        <f t="shared" si="0"/>
        <v>3083.7000000000003</v>
      </c>
      <c r="F12" s="4">
        <v>0</v>
      </c>
      <c r="G12" s="2">
        <v>3325.6</v>
      </c>
      <c r="H12" s="4">
        <v>146.2</v>
      </c>
      <c r="I12" s="2">
        <v>1846.8</v>
      </c>
      <c r="J12" s="2">
        <f t="shared" si="1"/>
        <v>5318.599999999999</v>
      </c>
      <c r="K12" s="2">
        <v>1375.2</v>
      </c>
      <c r="L12" s="2">
        <v>10.7</v>
      </c>
      <c r="M12" s="2">
        <v>1028.2</v>
      </c>
      <c r="N12" s="2">
        <f t="shared" si="2"/>
        <v>2414.1000000000004</v>
      </c>
      <c r="O12" s="2">
        <v>1142.8</v>
      </c>
      <c r="P12" s="2">
        <f t="shared" si="3"/>
        <v>11959.2</v>
      </c>
    </row>
    <row r="13" spans="1:16" s="1" customFormat="1" ht="15.75">
      <c r="A13" s="38">
        <v>38534</v>
      </c>
      <c r="B13" s="3">
        <v>814.6</v>
      </c>
      <c r="C13" s="2">
        <v>837.2</v>
      </c>
      <c r="D13" s="2">
        <v>489.4</v>
      </c>
      <c r="E13" s="2">
        <f t="shared" si="0"/>
        <v>2141.2000000000003</v>
      </c>
      <c r="F13" s="4">
        <v>0</v>
      </c>
      <c r="G13" s="2">
        <v>3447</v>
      </c>
      <c r="H13" s="4">
        <v>145.7</v>
      </c>
      <c r="I13" s="2">
        <v>1967.1</v>
      </c>
      <c r="J13" s="2">
        <f t="shared" si="1"/>
        <v>5559.799999999999</v>
      </c>
      <c r="K13" s="2">
        <v>1333.8</v>
      </c>
      <c r="L13" s="2">
        <v>7.9</v>
      </c>
      <c r="M13" s="2">
        <v>1011.2</v>
      </c>
      <c r="N13" s="2">
        <f t="shared" si="2"/>
        <v>2352.9</v>
      </c>
      <c r="O13" s="2">
        <v>1160</v>
      </c>
      <c r="P13" s="2">
        <f t="shared" si="3"/>
        <v>11213.9</v>
      </c>
    </row>
    <row r="14" spans="1:16" s="1" customFormat="1" ht="15.75">
      <c r="A14" s="38">
        <v>38565</v>
      </c>
      <c r="B14" s="3">
        <v>728.7</v>
      </c>
      <c r="C14" s="2">
        <v>914.1</v>
      </c>
      <c r="D14" s="2">
        <v>547.1</v>
      </c>
      <c r="E14" s="2">
        <f t="shared" si="0"/>
        <v>2189.9</v>
      </c>
      <c r="F14" s="4">
        <v>0</v>
      </c>
      <c r="G14" s="2">
        <v>3660.4</v>
      </c>
      <c r="H14" s="4">
        <v>135.6</v>
      </c>
      <c r="I14" s="2">
        <v>1669.2</v>
      </c>
      <c r="J14" s="2">
        <f t="shared" si="1"/>
        <v>5465.2</v>
      </c>
      <c r="K14" s="2">
        <v>1768.6</v>
      </c>
      <c r="L14" s="2">
        <v>12.2</v>
      </c>
      <c r="M14" s="2">
        <v>1056</v>
      </c>
      <c r="N14" s="2">
        <f t="shared" si="2"/>
        <v>2836.8</v>
      </c>
      <c r="O14" s="2">
        <v>2677.5</v>
      </c>
      <c r="P14" s="2">
        <f t="shared" si="3"/>
        <v>13169.4</v>
      </c>
    </row>
    <row r="15" spans="1:16" s="1" customFormat="1" ht="15.75">
      <c r="A15" s="38">
        <v>38596</v>
      </c>
      <c r="B15" s="3">
        <v>1290.6</v>
      </c>
      <c r="C15" s="2">
        <v>923.6</v>
      </c>
      <c r="D15" s="2">
        <v>477.9</v>
      </c>
      <c r="E15" s="2">
        <f t="shared" si="0"/>
        <v>2692.1</v>
      </c>
      <c r="F15" s="4">
        <v>0</v>
      </c>
      <c r="G15" s="2">
        <v>3632.4</v>
      </c>
      <c r="H15" s="4">
        <v>11.4</v>
      </c>
      <c r="I15" s="2">
        <v>2054.8</v>
      </c>
      <c r="J15" s="2">
        <f t="shared" si="1"/>
        <v>5698.6</v>
      </c>
      <c r="K15" s="2">
        <v>1715.7</v>
      </c>
      <c r="L15" s="2">
        <v>10.8</v>
      </c>
      <c r="M15" s="2">
        <v>2694.2</v>
      </c>
      <c r="N15" s="2">
        <f t="shared" si="2"/>
        <v>4420.7</v>
      </c>
      <c r="O15" s="2">
        <v>1819.1</v>
      </c>
      <c r="P15" s="2">
        <f t="shared" si="3"/>
        <v>14630.5</v>
      </c>
    </row>
    <row r="16" spans="1:16" s="1" customFormat="1" ht="15.75">
      <c r="A16" s="38">
        <v>38626</v>
      </c>
      <c r="B16" s="3">
        <v>5108</v>
      </c>
      <c r="C16" s="2">
        <v>908.7</v>
      </c>
      <c r="D16" s="2">
        <v>514.8</v>
      </c>
      <c r="E16" s="2">
        <f t="shared" si="0"/>
        <v>6531.5</v>
      </c>
      <c r="F16" s="4">
        <v>0</v>
      </c>
      <c r="G16" s="2">
        <v>3088.9</v>
      </c>
      <c r="H16" s="4">
        <v>138.9</v>
      </c>
      <c r="I16" s="2">
        <v>1794.5</v>
      </c>
      <c r="J16" s="2">
        <f t="shared" si="1"/>
        <v>5022.3</v>
      </c>
      <c r="K16" s="2">
        <v>1570</v>
      </c>
      <c r="L16" s="2">
        <v>11.8</v>
      </c>
      <c r="M16" s="2">
        <v>1057.3</v>
      </c>
      <c r="N16" s="2">
        <f t="shared" si="2"/>
        <v>2639.1</v>
      </c>
      <c r="O16" s="2">
        <v>1656.8</v>
      </c>
      <c r="P16" s="2">
        <f t="shared" si="3"/>
        <v>15849.7</v>
      </c>
    </row>
    <row r="17" spans="1:16" s="1" customFormat="1" ht="15.75">
      <c r="A17" s="38">
        <v>38657</v>
      </c>
      <c r="B17" s="3">
        <v>653.3</v>
      </c>
      <c r="C17" s="2">
        <v>955.3</v>
      </c>
      <c r="D17" s="2">
        <v>650.9</v>
      </c>
      <c r="E17" s="2">
        <f t="shared" si="0"/>
        <v>2259.5</v>
      </c>
      <c r="F17" s="4">
        <v>0</v>
      </c>
      <c r="G17" s="2">
        <v>3326.6</v>
      </c>
      <c r="H17" s="4">
        <v>152.9</v>
      </c>
      <c r="I17" s="2">
        <v>1792.6</v>
      </c>
      <c r="J17" s="2">
        <f t="shared" si="1"/>
        <v>5272.1</v>
      </c>
      <c r="K17" s="2">
        <v>1726.1</v>
      </c>
      <c r="L17" s="2">
        <v>9</v>
      </c>
      <c r="M17" s="2">
        <v>1061</v>
      </c>
      <c r="N17" s="2">
        <f t="shared" si="2"/>
        <v>2796.1</v>
      </c>
      <c r="O17" s="2">
        <v>1595.1</v>
      </c>
      <c r="P17" s="2">
        <f t="shared" si="3"/>
        <v>11922.8</v>
      </c>
    </row>
    <row r="18" spans="1:16" s="1" customFormat="1" ht="15.75">
      <c r="A18" s="38">
        <v>38687</v>
      </c>
      <c r="B18" s="3">
        <v>2565.1</v>
      </c>
      <c r="C18" s="2">
        <v>1009.4</v>
      </c>
      <c r="D18" s="2">
        <v>689.3</v>
      </c>
      <c r="E18" s="2">
        <f t="shared" si="0"/>
        <v>4263.8</v>
      </c>
      <c r="F18" s="4">
        <v>0</v>
      </c>
      <c r="G18" s="2">
        <v>3462.7</v>
      </c>
      <c r="H18" s="4">
        <v>131.9</v>
      </c>
      <c r="I18" s="2">
        <v>1830.3</v>
      </c>
      <c r="J18" s="2">
        <f t="shared" si="1"/>
        <v>5424.9</v>
      </c>
      <c r="K18" s="2">
        <v>2022.5</v>
      </c>
      <c r="L18" s="2">
        <v>12.1</v>
      </c>
      <c r="M18" s="2">
        <v>1065.8</v>
      </c>
      <c r="N18" s="2">
        <f t="shared" si="2"/>
        <v>3100.3999999999996</v>
      </c>
      <c r="O18" s="2">
        <v>965.2</v>
      </c>
      <c r="P18" s="2">
        <f t="shared" si="3"/>
        <v>13754.3</v>
      </c>
    </row>
    <row r="19" spans="1:16" s="1" customFormat="1" ht="15.75">
      <c r="A19" s="38">
        <v>38718</v>
      </c>
      <c r="B19" s="3">
        <v>2993.7</v>
      </c>
      <c r="C19" s="2">
        <v>1794.4</v>
      </c>
      <c r="D19" s="2">
        <v>69</v>
      </c>
      <c r="E19" s="2">
        <f t="shared" si="0"/>
        <v>4857.1</v>
      </c>
      <c r="F19" s="4">
        <v>0</v>
      </c>
      <c r="G19" s="2">
        <v>4325.6</v>
      </c>
      <c r="H19" s="4">
        <v>144.6</v>
      </c>
      <c r="I19" s="2">
        <v>2000.3</v>
      </c>
      <c r="J19" s="2">
        <f t="shared" si="1"/>
        <v>6470.500000000001</v>
      </c>
      <c r="K19" s="2">
        <v>1795.6</v>
      </c>
      <c r="L19" s="4">
        <v>12.5</v>
      </c>
      <c r="M19" s="2">
        <v>161.7</v>
      </c>
      <c r="N19" s="2">
        <f t="shared" si="2"/>
        <v>1969.8</v>
      </c>
      <c r="O19" s="2">
        <v>1806.5</v>
      </c>
      <c r="P19" s="2">
        <f t="shared" si="3"/>
        <v>15103.900000000001</v>
      </c>
    </row>
    <row r="20" spans="1:16" s="1" customFormat="1" ht="15.75">
      <c r="A20" s="38">
        <v>38749</v>
      </c>
      <c r="B20" s="3">
        <v>833.6</v>
      </c>
      <c r="C20" s="2">
        <v>1554</v>
      </c>
      <c r="D20" s="2">
        <v>37</v>
      </c>
      <c r="E20" s="2">
        <f t="shared" si="0"/>
        <v>2424.6</v>
      </c>
      <c r="F20" s="4">
        <v>0</v>
      </c>
      <c r="G20" s="2">
        <v>3756.5</v>
      </c>
      <c r="H20" s="4">
        <v>169.7</v>
      </c>
      <c r="I20" s="2">
        <v>2033.3</v>
      </c>
      <c r="J20" s="2">
        <f t="shared" si="1"/>
        <v>5959.5</v>
      </c>
      <c r="K20" s="2">
        <v>1925.1</v>
      </c>
      <c r="L20" s="4">
        <v>11</v>
      </c>
      <c r="M20" s="2">
        <v>28.9</v>
      </c>
      <c r="N20" s="2">
        <f t="shared" si="2"/>
        <v>1965</v>
      </c>
      <c r="O20" s="2">
        <v>1436.9</v>
      </c>
      <c r="P20" s="2">
        <f t="shared" si="3"/>
        <v>11786</v>
      </c>
    </row>
    <row r="21" spans="1:16" s="1" customFormat="1" ht="15.75">
      <c r="A21" s="38">
        <v>38777</v>
      </c>
      <c r="B21" s="3">
        <v>4994.1</v>
      </c>
      <c r="C21" s="2">
        <v>1404.8</v>
      </c>
      <c r="D21" s="2">
        <v>66.2</v>
      </c>
      <c r="E21" s="2">
        <f t="shared" si="0"/>
        <v>6465.1</v>
      </c>
      <c r="F21" s="4">
        <v>0</v>
      </c>
      <c r="G21" s="2">
        <v>4464.6</v>
      </c>
      <c r="H21" s="4">
        <v>146.5</v>
      </c>
      <c r="I21" s="2">
        <v>1869.2</v>
      </c>
      <c r="J21" s="2">
        <f t="shared" si="1"/>
        <v>6480.3</v>
      </c>
      <c r="K21" s="2">
        <v>2018.6</v>
      </c>
      <c r="L21" s="4">
        <v>13.9</v>
      </c>
      <c r="M21" s="2">
        <v>32</v>
      </c>
      <c r="N21" s="2">
        <f t="shared" si="2"/>
        <v>2064.5</v>
      </c>
      <c r="O21" s="2">
        <v>998.5</v>
      </c>
      <c r="P21" s="2">
        <f t="shared" si="3"/>
        <v>16008.4</v>
      </c>
    </row>
    <row r="22" spans="1:16" s="1" customFormat="1" ht="15.75">
      <c r="A22" s="38">
        <v>38808</v>
      </c>
      <c r="B22" s="3">
        <v>2802.9</v>
      </c>
      <c r="C22" s="2">
        <v>1923.9</v>
      </c>
      <c r="D22" s="2">
        <v>75.5</v>
      </c>
      <c r="E22" s="2">
        <f t="shared" si="0"/>
        <v>4802.3</v>
      </c>
      <c r="F22" s="4">
        <v>0</v>
      </c>
      <c r="G22" s="2">
        <v>3772.7</v>
      </c>
      <c r="H22" s="4">
        <v>120.5</v>
      </c>
      <c r="I22" s="2">
        <v>1921.3</v>
      </c>
      <c r="J22" s="2">
        <f t="shared" si="1"/>
        <v>5814.5</v>
      </c>
      <c r="K22" s="2">
        <v>1971.4</v>
      </c>
      <c r="L22" s="4">
        <v>13.9</v>
      </c>
      <c r="M22" s="2">
        <v>0.9</v>
      </c>
      <c r="N22" s="2">
        <f t="shared" si="2"/>
        <v>1986.2000000000003</v>
      </c>
      <c r="O22" s="2">
        <v>583.9</v>
      </c>
      <c r="P22" s="2">
        <f t="shared" si="3"/>
        <v>13186.900000000001</v>
      </c>
    </row>
    <row r="23" spans="1:16" s="1" customFormat="1" ht="15.75">
      <c r="A23" s="38">
        <v>38838</v>
      </c>
      <c r="B23" s="3">
        <v>1884.5</v>
      </c>
      <c r="C23" s="2">
        <v>1317.6</v>
      </c>
      <c r="D23" s="2">
        <v>126.1</v>
      </c>
      <c r="E23" s="2">
        <f t="shared" si="0"/>
        <v>3328.2</v>
      </c>
      <c r="F23" s="4">
        <v>0</v>
      </c>
      <c r="G23" s="2">
        <v>4310.5</v>
      </c>
      <c r="H23" s="4">
        <v>134.4</v>
      </c>
      <c r="I23" s="2">
        <v>2038.8</v>
      </c>
      <c r="J23" s="2">
        <f t="shared" si="1"/>
        <v>6483.7</v>
      </c>
      <c r="K23" s="2">
        <v>1977.1</v>
      </c>
      <c r="L23" s="4">
        <v>18</v>
      </c>
      <c r="M23" s="2">
        <v>19.1</v>
      </c>
      <c r="N23" s="2">
        <f t="shared" si="2"/>
        <v>2014.1999999999998</v>
      </c>
      <c r="O23" s="2">
        <v>636.8</v>
      </c>
      <c r="P23" s="2">
        <f t="shared" si="3"/>
        <v>12462.900000000001</v>
      </c>
    </row>
    <row r="24" spans="1:16" s="1" customFormat="1" ht="15.75">
      <c r="A24" s="38">
        <v>38869</v>
      </c>
      <c r="B24" s="3">
        <v>2096.3</v>
      </c>
      <c r="C24" s="2">
        <v>1374.6</v>
      </c>
      <c r="D24" s="2">
        <v>132</v>
      </c>
      <c r="E24" s="2">
        <f t="shared" si="0"/>
        <v>3602.9</v>
      </c>
      <c r="F24" s="4">
        <v>0</v>
      </c>
      <c r="G24" s="2">
        <v>4818.5</v>
      </c>
      <c r="H24" s="4">
        <v>109.9</v>
      </c>
      <c r="I24" s="2">
        <v>2344.4</v>
      </c>
      <c r="J24" s="2">
        <f t="shared" si="1"/>
        <v>7272.799999999999</v>
      </c>
      <c r="K24" s="2">
        <v>2287.8</v>
      </c>
      <c r="L24" s="4">
        <v>15.1</v>
      </c>
      <c r="M24" s="2">
        <v>3.9</v>
      </c>
      <c r="N24" s="2">
        <f t="shared" si="2"/>
        <v>2306.8</v>
      </c>
      <c r="O24" s="2">
        <v>616.4</v>
      </c>
      <c r="P24" s="2">
        <f t="shared" si="3"/>
        <v>13798.9</v>
      </c>
    </row>
    <row r="25" spans="1:16" s="1" customFormat="1" ht="15.75">
      <c r="A25" s="38">
        <v>38899</v>
      </c>
      <c r="B25" s="3">
        <v>414.6</v>
      </c>
      <c r="C25" s="2">
        <v>1411.8</v>
      </c>
      <c r="D25" s="2">
        <v>51.3</v>
      </c>
      <c r="E25" s="2">
        <f t="shared" si="0"/>
        <v>1877.7</v>
      </c>
      <c r="F25" s="4">
        <v>0</v>
      </c>
      <c r="G25" s="2">
        <v>4760.2</v>
      </c>
      <c r="H25" s="4">
        <v>175.7</v>
      </c>
      <c r="I25" s="2">
        <v>2733.6</v>
      </c>
      <c r="J25" s="2">
        <f t="shared" si="1"/>
        <v>7669.5</v>
      </c>
      <c r="K25" s="2">
        <v>2292.6</v>
      </c>
      <c r="L25" s="4">
        <v>16.1</v>
      </c>
      <c r="M25" s="2">
        <v>11.2</v>
      </c>
      <c r="N25" s="2">
        <f t="shared" si="2"/>
        <v>2319.8999999999996</v>
      </c>
      <c r="O25" s="2">
        <v>577.2</v>
      </c>
      <c r="P25" s="2">
        <f t="shared" si="3"/>
        <v>12444.3</v>
      </c>
    </row>
    <row r="26" spans="1:16" s="1" customFormat="1" ht="15.75">
      <c r="A26" s="38">
        <v>38930</v>
      </c>
      <c r="B26" s="3">
        <v>1099.1</v>
      </c>
      <c r="C26" s="2">
        <v>1660.8</v>
      </c>
      <c r="D26" s="2">
        <v>45.2</v>
      </c>
      <c r="E26" s="2">
        <f t="shared" si="0"/>
        <v>2805.0999999999995</v>
      </c>
      <c r="F26" s="4">
        <v>0</v>
      </c>
      <c r="G26" s="2">
        <v>4938.1</v>
      </c>
      <c r="H26" s="4">
        <v>139.2</v>
      </c>
      <c r="I26" s="2">
        <v>2458.2</v>
      </c>
      <c r="J26" s="2">
        <f t="shared" si="1"/>
        <v>7535.5</v>
      </c>
      <c r="K26" s="2">
        <v>2718.1</v>
      </c>
      <c r="L26" s="4">
        <v>17.1</v>
      </c>
      <c r="M26" s="2">
        <v>0.1</v>
      </c>
      <c r="N26" s="2">
        <f t="shared" si="2"/>
        <v>2735.2999999999997</v>
      </c>
      <c r="O26" s="2">
        <v>637.9</v>
      </c>
      <c r="P26" s="2">
        <f t="shared" si="3"/>
        <v>13713.8</v>
      </c>
    </row>
    <row r="27" spans="1:16" s="1" customFormat="1" ht="15.75">
      <c r="A27" s="38">
        <v>38961</v>
      </c>
      <c r="B27" s="3">
        <v>963.2</v>
      </c>
      <c r="C27" s="2">
        <v>1668.7</v>
      </c>
      <c r="D27" s="2">
        <v>102.4</v>
      </c>
      <c r="E27" s="2">
        <f t="shared" si="0"/>
        <v>2734.3</v>
      </c>
      <c r="F27" s="4">
        <v>0</v>
      </c>
      <c r="G27" s="2">
        <v>5081.5</v>
      </c>
      <c r="H27" s="4">
        <v>204</v>
      </c>
      <c r="I27" s="2">
        <v>2616.8</v>
      </c>
      <c r="J27" s="2">
        <f t="shared" si="1"/>
        <v>7902.3</v>
      </c>
      <c r="K27" s="2">
        <v>2417.6</v>
      </c>
      <c r="L27" s="4">
        <v>18.4</v>
      </c>
      <c r="M27" s="4">
        <v>0</v>
      </c>
      <c r="N27" s="2">
        <f>K27+L27+M27</f>
        <v>2436</v>
      </c>
      <c r="O27" s="2">
        <v>722.2</v>
      </c>
      <c r="P27" s="2">
        <f t="shared" si="3"/>
        <v>13794.8</v>
      </c>
    </row>
    <row r="28" spans="1:16" s="1" customFormat="1" ht="15.75">
      <c r="A28" s="38">
        <v>38991</v>
      </c>
      <c r="B28" s="3">
        <v>5120.7</v>
      </c>
      <c r="C28" s="2">
        <v>1611.1</v>
      </c>
      <c r="D28" s="2">
        <v>105.9</v>
      </c>
      <c r="E28" s="2">
        <f t="shared" si="0"/>
        <v>6837.699999999999</v>
      </c>
      <c r="F28" s="4">
        <v>0</v>
      </c>
      <c r="G28" s="2">
        <v>4697.3</v>
      </c>
      <c r="H28" s="4">
        <v>161.7</v>
      </c>
      <c r="I28" s="2">
        <v>2620.5</v>
      </c>
      <c r="J28" s="2">
        <f t="shared" si="1"/>
        <v>7479.5</v>
      </c>
      <c r="K28" s="2">
        <v>1950.6</v>
      </c>
      <c r="L28" s="4">
        <v>17.7</v>
      </c>
      <c r="M28" s="4">
        <v>21.3</v>
      </c>
      <c r="N28" s="2">
        <f t="shared" si="2"/>
        <v>1989.6</v>
      </c>
      <c r="O28" s="2">
        <v>772</v>
      </c>
      <c r="P28" s="2">
        <f t="shared" si="3"/>
        <v>17078.8</v>
      </c>
    </row>
    <row r="29" spans="1:16" s="1" customFormat="1" ht="15.75">
      <c r="A29" s="38">
        <v>39022</v>
      </c>
      <c r="B29" s="3">
        <v>805.7</v>
      </c>
      <c r="C29" s="2">
        <v>1617.7</v>
      </c>
      <c r="D29" s="2">
        <v>87.5</v>
      </c>
      <c r="E29" s="2">
        <f t="shared" si="0"/>
        <v>2510.9</v>
      </c>
      <c r="F29" s="4">
        <v>0</v>
      </c>
      <c r="G29" s="2">
        <v>4417.4</v>
      </c>
      <c r="H29" s="4">
        <v>184.1</v>
      </c>
      <c r="I29" s="2">
        <v>2255.8</v>
      </c>
      <c r="J29" s="2">
        <f t="shared" si="1"/>
        <v>6857.3</v>
      </c>
      <c r="K29" s="2">
        <v>1801.4</v>
      </c>
      <c r="L29" s="4">
        <v>16.1</v>
      </c>
      <c r="M29" s="4">
        <f>1817.8-SUM(K29:L29)</f>
        <v>0.2999999999999545</v>
      </c>
      <c r="N29" s="2">
        <f t="shared" si="2"/>
        <v>1817.8</v>
      </c>
      <c r="O29" s="2">
        <v>629.2</v>
      </c>
      <c r="P29" s="2">
        <f t="shared" si="3"/>
        <v>11815.199999999999</v>
      </c>
    </row>
    <row r="30" spans="1:16" s="1" customFormat="1" ht="15.75">
      <c r="A30" s="38">
        <v>39052</v>
      </c>
      <c r="B30" s="3">
        <v>376.2</v>
      </c>
      <c r="C30" s="2">
        <v>1872.4</v>
      </c>
      <c r="D30" s="2">
        <v>66.3</v>
      </c>
      <c r="E30" s="2">
        <f>+B30+C30+D30</f>
        <v>2314.9</v>
      </c>
      <c r="F30" s="4">
        <v>0</v>
      </c>
      <c r="G30" s="2">
        <v>4877.6</v>
      </c>
      <c r="H30" s="4">
        <v>138.5</v>
      </c>
      <c r="I30" s="2">
        <v>2235.9</v>
      </c>
      <c r="J30" s="2">
        <f>+G30+H30+I30</f>
        <v>7252</v>
      </c>
      <c r="K30" s="2">
        <v>2216.3</v>
      </c>
      <c r="L30" s="4">
        <v>15.9</v>
      </c>
      <c r="M30" s="4">
        <v>15</v>
      </c>
      <c r="N30" s="2">
        <f>+K30+L30+M30</f>
        <v>2247.2000000000003</v>
      </c>
      <c r="O30" s="2">
        <v>631.3</v>
      </c>
      <c r="P30" s="2">
        <f t="shared" si="3"/>
        <v>12445.4</v>
      </c>
    </row>
    <row r="31" spans="1:16" s="1" customFormat="1" ht="15.75">
      <c r="A31" s="38">
        <v>39083</v>
      </c>
      <c r="B31" s="3">
        <v>5583.9</v>
      </c>
      <c r="C31" s="2">
        <v>2883.3</v>
      </c>
      <c r="D31" s="2">
        <v>143.1</v>
      </c>
      <c r="E31" s="2">
        <f aca="true" t="shared" si="4" ref="E31:E94">+B31+C31+D31</f>
        <v>8610.300000000001</v>
      </c>
      <c r="F31" s="4">
        <v>0.7</v>
      </c>
      <c r="G31" s="2">
        <v>5126.6</v>
      </c>
      <c r="H31" s="4">
        <v>147.6</v>
      </c>
      <c r="I31" s="2">
        <v>2850.4</v>
      </c>
      <c r="J31" s="2">
        <f aca="true" t="shared" si="5" ref="J31:J94">+G31+H31+I31</f>
        <v>8124.6</v>
      </c>
      <c r="K31" s="2">
        <v>1977.2</v>
      </c>
      <c r="L31" s="4">
        <v>16</v>
      </c>
      <c r="M31" s="4">
        <v>0.2</v>
      </c>
      <c r="N31" s="2">
        <f aca="true" t="shared" si="6" ref="N31:N94">+K31+L31+M31</f>
        <v>1993.4</v>
      </c>
      <c r="O31" s="2">
        <f>389.8+266.5</f>
        <v>656.3</v>
      </c>
      <c r="P31" s="2">
        <f t="shared" si="3"/>
        <v>19385.300000000003</v>
      </c>
    </row>
    <row r="32" spans="1:16" s="1" customFormat="1" ht="15.75">
      <c r="A32" s="38">
        <v>39114</v>
      </c>
      <c r="B32" s="3">
        <v>567.4</v>
      </c>
      <c r="C32" s="2">
        <v>2061.8</v>
      </c>
      <c r="D32" s="2">
        <v>43.3</v>
      </c>
      <c r="E32" s="2">
        <f t="shared" si="4"/>
        <v>2672.5000000000005</v>
      </c>
      <c r="F32" s="4">
        <v>0</v>
      </c>
      <c r="G32" s="2">
        <v>4043.3</v>
      </c>
      <c r="H32" s="4">
        <v>174</v>
      </c>
      <c r="I32" s="2">
        <v>2125.9</v>
      </c>
      <c r="J32" s="2">
        <f t="shared" si="5"/>
        <v>6343.200000000001</v>
      </c>
      <c r="K32" s="2">
        <v>1568.4</v>
      </c>
      <c r="L32" s="4">
        <v>14.8</v>
      </c>
      <c r="M32" s="4">
        <v>3.1</v>
      </c>
      <c r="N32" s="2">
        <f t="shared" si="6"/>
        <v>1586.3</v>
      </c>
      <c r="O32" s="2">
        <f>262.7+286.1</f>
        <v>548.8</v>
      </c>
      <c r="P32" s="2">
        <f t="shared" si="3"/>
        <v>11150.800000000001</v>
      </c>
    </row>
    <row r="33" spans="1:16" s="1" customFormat="1" ht="15.75">
      <c r="A33" s="38">
        <v>39142</v>
      </c>
      <c r="B33" s="3">
        <v>6487</v>
      </c>
      <c r="C33" s="2">
        <v>2115.2</v>
      </c>
      <c r="D33" s="2">
        <v>30.5</v>
      </c>
      <c r="E33" s="2">
        <f t="shared" si="4"/>
        <v>8632.7</v>
      </c>
      <c r="F33" s="4">
        <v>5.5</v>
      </c>
      <c r="G33" s="2">
        <v>4577.1</v>
      </c>
      <c r="H33" s="4">
        <v>154.2</v>
      </c>
      <c r="I33" s="2">
        <v>1845.1</v>
      </c>
      <c r="J33" s="2">
        <f t="shared" si="5"/>
        <v>6576.4</v>
      </c>
      <c r="K33" s="2">
        <v>2095.9</v>
      </c>
      <c r="L33" s="4">
        <v>15.2</v>
      </c>
      <c r="M33" s="4">
        <v>0</v>
      </c>
      <c r="N33" s="2">
        <f t="shared" si="6"/>
        <v>2111.1</v>
      </c>
      <c r="O33" s="2">
        <f>396.8+326.5</f>
        <v>723.3</v>
      </c>
      <c r="P33" s="2">
        <f t="shared" si="3"/>
        <v>18049</v>
      </c>
    </row>
    <row r="34" spans="1:16" s="1" customFormat="1" ht="15.75">
      <c r="A34" s="38">
        <v>39173</v>
      </c>
      <c r="B34" s="3">
        <v>3823</v>
      </c>
      <c r="C34" s="2">
        <v>1877.2</v>
      </c>
      <c r="D34" s="2">
        <v>98.7</v>
      </c>
      <c r="E34" s="2">
        <f t="shared" si="4"/>
        <v>5798.9</v>
      </c>
      <c r="F34" s="4">
        <v>0</v>
      </c>
      <c r="G34" s="2">
        <v>4657.3</v>
      </c>
      <c r="H34" s="4">
        <v>150</v>
      </c>
      <c r="I34" s="2">
        <v>2250.3</v>
      </c>
      <c r="J34" s="2">
        <f t="shared" si="5"/>
        <v>7057.6</v>
      </c>
      <c r="K34" s="2">
        <v>2096.7</v>
      </c>
      <c r="L34" s="4">
        <v>15.3</v>
      </c>
      <c r="M34" s="4">
        <v>0</v>
      </c>
      <c r="N34" s="2">
        <f t="shared" si="6"/>
        <v>2112</v>
      </c>
      <c r="O34" s="2">
        <f>415.6+348.8</f>
        <v>764.4000000000001</v>
      </c>
      <c r="P34" s="2">
        <f t="shared" si="3"/>
        <v>15732.9</v>
      </c>
    </row>
    <row r="35" spans="1:16" s="1" customFormat="1" ht="15.75">
      <c r="A35" s="38">
        <v>39203</v>
      </c>
      <c r="B35" s="3">
        <v>1080.6</v>
      </c>
      <c r="C35" s="2">
        <v>2185.5</v>
      </c>
      <c r="D35" s="2">
        <v>26.1</v>
      </c>
      <c r="E35" s="2">
        <f t="shared" si="4"/>
        <v>3292.2</v>
      </c>
      <c r="F35" s="4">
        <v>0</v>
      </c>
      <c r="G35" s="2">
        <v>4929</v>
      </c>
      <c r="H35" s="4">
        <v>146.3</v>
      </c>
      <c r="I35" s="2">
        <v>2320.7</v>
      </c>
      <c r="J35" s="2">
        <f t="shared" si="5"/>
        <v>7396</v>
      </c>
      <c r="K35" s="2">
        <v>2254.7</v>
      </c>
      <c r="L35" s="4">
        <v>1.2</v>
      </c>
      <c r="M35" s="4">
        <v>3.2</v>
      </c>
      <c r="N35" s="2">
        <f t="shared" si="6"/>
        <v>2259.0999999999995</v>
      </c>
      <c r="O35" s="2">
        <f>517.8+756.5</f>
        <v>1274.3</v>
      </c>
      <c r="P35" s="2">
        <f t="shared" si="3"/>
        <v>14221.599999999999</v>
      </c>
    </row>
    <row r="36" spans="1:16" s="1" customFormat="1" ht="15.75">
      <c r="A36" s="38">
        <v>39234</v>
      </c>
      <c r="B36" s="3">
        <v>200.6</v>
      </c>
      <c r="C36" s="2">
        <v>1561.1</v>
      </c>
      <c r="D36" s="2">
        <v>44.8</v>
      </c>
      <c r="E36" s="2">
        <f t="shared" si="4"/>
        <v>1806.4999999999998</v>
      </c>
      <c r="F36" s="4">
        <v>0</v>
      </c>
      <c r="G36" s="2">
        <v>4905.6</v>
      </c>
      <c r="H36" s="4">
        <v>167</v>
      </c>
      <c r="I36" s="2">
        <v>2229.2</v>
      </c>
      <c r="J36" s="2">
        <f t="shared" si="5"/>
        <v>7301.8</v>
      </c>
      <c r="K36" s="2">
        <v>2155.3</v>
      </c>
      <c r="L36" s="4">
        <v>5.9</v>
      </c>
      <c r="M36" s="4">
        <v>8.1</v>
      </c>
      <c r="N36" s="2">
        <f t="shared" si="6"/>
        <v>2169.3</v>
      </c>
      <c r="O36" s="2">
        <f>264.5+613.6</f>
        <v>878.1</v>
      </c>
      <c r="P36" s="2">
        <f t="shared" si="3"/>
        <v>12155.7</v>
      </c>
    </row>
    <row r="37" spans="1:16" s="1" customFormat="1" ht="15.75">
      <c r="A37" s="38">
        <v>39264</v>
      </c>
      <c r="B37" s="3">
        <v>1339.3</v>
      </c>
      <c r="C37" s="2">
        <v>1816.8</v>
      </c>
      <c r="D37" s="2">
        <v>30.2</v>
      </c>
      <c r="E37" s="2">
        <f t="shared" si="4"/>
        <v>3186.2999999999997</v>
      </c>
      <c r="F37" s="4">
        <v>0</v>
      </c>
      <c r="G37" s="2">
        <v>5160.9</v>
      </c>
      <c r="H37" s="4">
        <v>198.8</v>
      </c>
      <c r="I37" s="2">
        <v>2558.2</v>
      </c>
      <c r="J37" s="2">
        <f t="shared" si="5"/>
        <v>7917.9</v>
      </c>
      <c r="K37" s="2">
        <v>2126.9</v>
      </c>
      <c r="L37" s="4">
        <v>7.1</v>
      </c>
      <c r="M37" s="4">
        <v>0.1</v>
      </c>
      <c r="N37" s="2">
        <f t="shared" si="6"/>
        <v>2134.1</v>
      </c>
      <c r="O37" s="2">
        <f>10.1+758+315.2</f>
        <v>1083.3</v>
      </c>
      <c r="P37" s="2">
        <f t="shared" si="3"/>
        <v>14321.599999999999</v>
      </c>
    </row>
    <row r="38" spans="1:16" s="1" customFormat="1" ht="15.75">
      <c r="A38" s="38">
        <v>39295</v>
      </c>
      <c r="B38" s="3">
        <v>1580.5</v>
      </c>
      <c r="C38" s="2">
        <v>1935.8</v>
      </c>
      <c r="D38" s="2">
        <v>99</v>
      </c>
      <c r="E38" s="2">
        <f t="shared" si="4"/>
        <v>3615.3</v>
      </c>
      <c r="F38" s="4">
        <v>0</v>
      </c>
      <c r="G38" s="2">
        <v>5172.8</v>
      </c>
      <c r="H38" s="4">
        <v>149.7</v>
      </c>
      <c r="I38" s="2">
        <v>2948.9</v>
      </c>
      <c r="J38" s="2">
        <f t="shared" si="5"/>
        <v>8271.4</v>
      </c>
      <c r="K38" s="2">
        <v>2204.3</v>
      </c>
      <c r="L38" s="4">
        <v>4.8</v>
      </c>
      <c r="M38" s="4">
        <v>0</v>
      </c>
      <c r="N38" s="2">
        <f t="shared" si="6"/>
        <v>2209.1000000000004</v>
      </c>
      <c r="O38" s="2">
        <f>10.1+814.7+454.7</f>
        <v>1279.5</v>
      </c>
      <c r="P38" s="2">
        <f t="shared" si="3"/>
        <v>15375.3</v>
      </c>
    </row>
    <row r="39" spans="1:16" s="1" customFormat="1" ht="15.75">
      <c r="A39" s="38">
        <v>39326</v>
      </c>
      <c r="B39" s="3">
        <v>1151</v>
      </c>
      <c r="C39" s="2">
        <v>1782.1</v>
      </c>
      <c r="D39" s="2">
        <v>127.3</v>
      </c>
      <c r="E39" s="2">
        <f t="shared" si="4"/>
        <v>3060.4</v>
      </c>
      <c r="F39" s="4">
        <v>0</v>
      </c>
      <c r="G39" s="2">
        <v>5282.1</v>
      </c>
      <c r="H39" s="4">
        <v>172.8</v>
      </c>
      <c r="I39" s="2">
        <v>3137.7</v>
      </c>
      <c r="J39" s="2">
        <f t="shared" si="5"/>
        <v>8592.6</v>
      </c>
      <c r="K39" s="2">
        <v>2097.2</v>
      </c>
      <c r="L39" s="4">
        <v>8.8</v>
      </c>
      <c r="M39" s="4">
        <v>0</v>
      </c>
      <c r="N39" s="2">
        <f t="shared" si="6"/>
        <v>2106</v>
      </c>
      <c r="O39" s="2">
        <f>1181.3+392.2</f>
        <v>1573.5</v>
      </c>
      <c r="P39" s="2">
        <f t="shared" si="3"/>
        <v>15332.5</v>
      </c>
    </row>
    <row r="40" spans="1:16" s="1" customFormat="1" ht="15.75">
      <c r="A40" s="38">
        <v>39356</v>
      </c>
      <c r="B40" s="3">
        <v>5400.5</v>
      </c>
      <c r="C40" s="2">
        <v>1899.6</v>
      </c>
      <c r="D40" s="2">
        <v>209.3</v>
      </c>
      <c r="E40" s="2">
        <f t="shared" si="4"/>
        <v>7509.400000000001</v>
      </c>
      <c r="F40" s="4">
        <v>0</v>
      </c>
      <c r="G40" s="2">
        <v>6122.6</v>
      </c>
      <c r="H40" s="4">
        <v>166.9</v>
      </c>
      <c r="I40" s="2">
        <v>2544.4</v>
      </c>
      <c r="J40" s="2">
        <f t="shared" si="5"/>
        <v>8833.9</v>
      </c>
      <c r="K40" s="2">
        <v>2198.5</v>
      </c>
      <c r="L40" s="4">
        <v>8.5</v>
      </c>
      <c r="M40" s="4">
        <v>0</v>
      </c>
      <c r="N40" s="2">
        <f t="shared" si="6"/>
        <v>2207</v>
      </c>
      <c r="O40" s="2">
        <f>973.7+656</f>
        <v>1629.7</v>
      </c>
      <c r="P40" s="2">
        <f t="shared" si="3"/>
        <v>20180</v>
      </c>
    </row>
    <row r="41" spans="1:16" s="1" customFormat="1" ht="15.75">
      <c r="A41" s="38">
        <v>39387</v>
      </c>
      <c r="B41" s="3">
        <v>557.8</v>
      </c>
      <c r="C41" s="2">
        <v>2025.6</v>
      </c>
      <c r="D41" s="2">
        <v>72.7</v>
      </c>
      <c r="E41" s="2">
        <f t="shared" si="4"/>
        <v>2656.0999999999995</v>
      </c>
      <c r="F41" s="4">
        <v>0</v>
      </c>
      <c r="G41" s="2">
        <v>5526.3</v>
      </c>
      <c r="H41" s="4">
        <v>143.8</v>
      </c>
      <c r="I41" s="2">
        <v>2747.3</v>
      </c>
      <c r="J41" s="2">
        <f t="shared" si="5"/>
        <v>8417.400000000001</v>
      </c>
      <c r="K41" s="2">
        <v>1948</v>
      </c>
      <c r="L41" s="4">
        <v>1.6</v>
      </c>
      <c r="M41" s="4">
        <v>0</v>
      </c>
      <c r="N41" s="2">
        <f t="shared" si="6"/>
        <v>1949.6</v>
      </c>
      <c r="O41" s="2">
        <f>632.2+1188.8</f>
        <v>1821</v>
      </c>
      <c r="P41" s="2">
        <f t="shared" si="3"/>
        <v>14844.100000000002</v>
      </c>
    </row>
    <row r="42" spans="1:16" s="1" customFormat="1" ht="15.75">
      <c r="A42" s="38">
        <v>39417</v>
      </c>
      <c r="B42" s="3">
        <v>209</v>
      </c>
      <c r="C42" s="2">
        <v>1966</v>
      </c>
      <c r="D42" s="2">
        <v>63.9</v>
      </c>
      <c r="E42" s="2">
        <f t="shared" si="4"/>
        <v>2238.9</v>
      </c>
      <c r="F42" s="4">
        <v>0</v>
      </c>
      <c r="G42" s="2">
        <v>4932.1</v>
      </c>
      <c r="H42" s="4">
        <v>149.7</v>
      </c>
      <c r="I42" s="2">
        <v>2633.4</v>
      </c>
      <c r="J42" s="2">
        <f t="shared" si="5"/>
        <v>7715.200000000001</v>
      </c>
      <c r="K42" s="2">
        <v>1829.9</v>
      </c>
      <c r="L42" s="4">
        <v>0</v>
      </c>
      <c r="M42" s="4">
        <v>0</v>
      </c>
      <c r="N42" s="2">
        <f t="shared" si="6"/>
        <v>1829.9</v>
      </c>
      <c r="O42" s="2">
        <f>2703+471.4</f>
        <v>3174.4</v>
      </c>
      <c r="P42" s="2">
        <f t="shared" si="3"/>
        <v>14958.4</v>
      </c>
    </row>
    <row r="43" spans="1:16" s="1" customFormat="1" ht="15.75">
      <c r="A43" s="38">
        <v>39448</v>
      </c>
      <c r="B43" s="3">
        <v>5787.4</v>
      </c>
      <c r="C43" s="3">
        <v>3641.3</v>
      </c>
      <c r="D43" s="3">
        <v>58.6</v>
      </c>
      <c r="E43" s="2">
        <f t="shared" si="4"/>
        <v>9487.300000000001</v>
      </c>
      <c r="F43" s="4">
        <v>49.6</v>
      </c>
      <c r="G43" s="3">
        <v>5583.9</v>
      </c>
      <c r="H43" s="34">
        <v>0</v>
      </c>
      <c r="I43" s="3">
        <v>3285.7</v>
      </c>
      <c r="J43" s="2">
        <f t="shared" si="5"/>
        <v>8869.599999999999</v>
      </c>
      <c r="K43" s="3">
        <v>2171</v>
      </c>
      <c r="L43" s="3">
        <v>38.3</v>
      </c>
      <c r="M43" s="3">
        <v>0</v>
      </c>
      <c r="N43" s="2">
        <f t="shared" si="6"/>
        <v>2209.3</v>
      </c>
      <c r="O43" s="3">
        <v>1603.5</v>
      </c>
      <c r="P43" s="2">
        <f t="shared" si="3"/>
        <v>22219.3</v>
      </c>
    </row>
    <row r="44" spans="1:16" s="1" customFormat="1" ht="15.75">
      <c r="A44" s="38">
        <v>39479</v>
      </c>
      <c r="B44" s="3">
        <v>216.1</v>
      </c>
      <c r="C44" s="3">
        <v>2475.9</v>
      </c>
      <c r="D44" s="3">
        <v>40.8</v>
      </c>
      <c r="E44" s="2">
        <f t="shared" si="4"/>
        <v>2732.8</v>
      </c>
      <c r="F44" s="4">
        <v>62.9</v>
      </c>
      <c r="G44" s="3">
        <v>5667.1</v>
      </c>
      <c r="H44" s="34">
        <v>0</v>
      </c>
      <c r="I44" s="3">
        <v>3044.2</v>
      </c>
      <c r="J44" s="2">
        <f t="shared" si="5"/>
        <v>8711.3</v>
      </c>
      <c r="K44" s="3">
        <v>1956</v>
      </c>
      <c r="L44" s="3">
        <v>99.3</v>
      </c>
      <c r="M44" s="3">
        <v>0.1</v>
      </c>
      <c r="N44" s="2">
        <f t="shared" si="6"/>
        <v>2055.4</v>
      </c>
      <c r="O44" s="3">
        <v>1896.2999999999997</v>
      </c>
      <c r="P44" s="2">
        <f t="shared" si="3"/>
        <v>15458.7</v>
      </c>
    </row>
    <row r="45" spans="1:16" s="1" customFormat="1" ht="15.75">
      <c r="A45" s="38">
        <v>39508</v>
      </c>
      <c r="B45" s="3">
        <v>8354.9</v>
      </c>
      <c r="C45" s="3">
        <v>2952.9</v>
      </c>
      <c r="D45" s="3">
        <v>109.1</v>
      </c>
      <c r="E45" s="2">
        <f t="shared" si="4"/>
        <v>11416.9</v>
      </c>
      <c r="F45" s="4">
        <v>164.8</v>
      </c>
      <c r="G45" s="3">
        <v>5703.1</v>
      </c>
      <c r="H45" s="34">
        <v>0</v>
      </c>
      <c r="I45" s="3">
        <v>2718.4</v>
      </c>
      <c r="J45" s="2">
        <f t="shared" si="5"/>
        <v>8421.5</v>
      </c>
      <c r="K45" s="3">
        <v>2279.9</v>
      </c>
      <c r="L45" s="3">
        <v>125.2</v>
      </c>
      <c r="M45" s="3">
        <v>0.1</v>
      </c>
      <c r="N45" s="2">
        <f t="shared" si="6"/>
        <v>2405.2</v>
      </c>
      <c r="O45" s="3">
        <v>1483.1999999999998</v>
      </c>
      <c r="P45" s="2">
        <f t="shared" si="3"/>
        <v>23891.6</v>
      </c>
    </row>
    <row r="46" spans="1:16" s="1" customFormat="1" ht="15.75">
      <c r="A46" s="38">
        <v>39539</v>
      </c>
      <c r="B46" s="3">
        <v>2351.2</v>
      </c>
      <c r="C46" s="3">
        <v>2322</v>
      </c>
      <c r="D46" s="3">
        <v>163.2</v>
      </c>
      <c r="E46" s="2">
        <f t="shared" si="4"/>
        <v>4836.4</v>
      </c>
      <c r="F46" s="4">
        <v>54.7</v>
      </c>
      <c r="G46" s="3">
        <v>8669</v>
      </c>
      <c r="H46" s="3">
        <v>635.6</v>
      </c>
      <c r="I46" s="3">
        <v>2806.4</v>
      </c>
      <c r="J46" s="2">
        <f t="shared" si="5"/>
        <v>12111</v>
      </c>
      <c r="K46" s="3">
        <v>2407.3</v>
      </c>
      <c r="L46" s="3">
        <v>166.3</v>
      </c>
      <c r="M46" s="3">
        <v>0.2</v>
      </c>
      <c r="N46" s="2">
        <f t="shared" si="6"/>
        <v>2573.8</v>
      </c>
      <c r="O46" s="3">
        <v>2774.4</v>
      </c>
      <c r="P46" s="2">
        <f t="shared" si="3"/>
        <v>22350.300000000003</v>
      </c>
    </row>
    <row r="47" spans="1:16" s="1" customFormat="1" ht="15.75">
      <c r="A47" s="38">
        <v>39569</v>
      </c>
      <c r="B47" s="3">
        <v>2047.8</v>
      </c>
      <c r="C47" s="3">
        <v>2089.6</v>
      </c>
      <c r="D47" s="3">
        <v>121</v>
      </c>
      <c r="E47" s="2">
        <f t="shared" si="4"/>
        <v>4258.4</v>
      </c>
      <c r="F47" s="4">
        <v>16</v>
      </c>
      <c r="G47" s="3">
        <v>6350.6</v>
      </c>
      <c r="H47" s="3">
        <v>166.5</v>
      </c>
      <c r="I47" s="3">
        <v>3056.5</v>
      </c>
      <c r="J47" s="2">
        <f t="shared" si="5"/>
        <v>9573.6</v>
      </c>
      <c r="K47" s="3">
        <v>3740.1</v>
      </c>
      <c r="L47" s="3">
        <v>529.6</v>
      </c>
      <c r="M47" s="3">
        <v>0</v>
      </c>
      <c r="N47" s="2">
        <f t="shared" si="6"/>
        <v>4269.7</v>
      </c>
      <c r="O47" s="3">
        <v>1867.6</v>
      </c>
      <c r="P47" s="2">
        <f t="shared" si="3"/>
        <v>19985.3</v>
      </c>
    </row>
    <row r="48" spans="1:16" s="1" customFormat="1" ht="15.75">
      <c r="A48" s="38">
        <v>39600</v>
      </c>
      <c r="B48" s="3">
        <v>3490.9</v>
      </c>
      <c r="C48" s="3">
        <v>2339</v>
      </c>
      <c r="D48" s="3">
        <v>70.9</v>
      </c>
      <c r="E48" s="2">
        <f t="shared" si="4"/>
        <v>5900.799999999999</v>
      </c>
      <c r="F48" s="4">
        <v>6.8</v>
      </c>
      <c r="G48" s="3">
        <v>6423.5</v>
      </c>
      <c r="H48" s="3">
        <v>171.5</v>
      </c>
      <c r="I48" s="3">
        <v>3211.8</v>
      </c>
      <c r="J48" s="2">
        <f t="shared" si="5"/>
        <v>9806.8</v>
      </c>
      <c r="K48" s="3">
        <v>2625</v>
      </c>
      <c r="L48" s="3">
        <v>120.6</v>
      </c>
      <c r="M48" s="3">
        <v>0</v>
      </c>
      <c r="N48" s="2">
        <f t="shared" si="6"/>
        <v>2745.6</v>
      </c>
      <c r="O48" s="3">
        <v>1612.5</v>
      </c>
      <c r="P48" s="2">
        <f t="shared" si="3"/>
        <v>20072.5</v>
      </c>
    </row>
    <row r="49" spans="1:16" s="1" customFormat="1" ht="15.75">
      <c r="A49" s="38">
        <v>39630</v>
      </c>
      <c r="B49" s="3">
        <v>725.3</v>
      </c>
      <c r="C49" s="3">
        <v>2184.6</v>
      </c>
      <c r="D49" s="3">
        <v>44.1</v>
      </c>
      <c r="E49" s="2">
        <f t="shared" si="4"/>
        <v>2953.9999999999995</v>
      </c>
      <c r="F49" s="4">
        <v>6.1</v>
      </c>
      <c r="G49" s="3">
        <v>6045.9</v>
      </c>
      <c r="H49" s="3">
        <v>178.8</v>
      </c>
      <c r="I49" s="3">
        <v>3582</v>
      </c>
      <c r="J49" s="2">
        <f t="shared" si="5"/>
        <v>9806.7</v>
      </c>
      <c r="K49" s="3">
        <v>3171.9</v>
      </c>
      <c r="L49" s="3">
        <v>123.1</v>
      </c>
      <c r="M49" s="3">
        <v>0</v>
      </c>
      <c r="N49" s="2">
        <f t="shared" si="6"/>
        <v>3295</v>
      </c>
      <c r="O49" s="3">
        <v>1398.4</v>
      </c>
      <c r="P49" s="2">
        <f t="shared" si="3"/>
        <v>17460.2</v>
      </c>
    </row>
    <row r="50" spans="1:16" s="1" customFormat="1" ht="15.75">
      <c r="A50" s="38">
        <v>39661</v>
      </c>
      <c r="B50" s="3">
        <v>1185.2</v>
      </c>
      <c r="C50" s="3">
        <v>2217.8</v>
      </c>
      <c r="D50" s="3">
        <v>118.6</v>
      </c>
      <c r="E50" s="2">
        <f t="shared" si="4"/>
        <v>3521.6</v>
      </c>
      <c r="F50" s="4">
        <v>7.4</v>
      </c>
      <c r="G50" s="3">
        <v>4797.3</v>
      </c>
      <c r="H50" s="3">
        <v>278.1</v>
      </c>
      <c r="I50" s="3">
        <v>4069.8</v>
      </c>
      <c r="J50" s="2">
        <f t="shared" si="5"/>
        <v>9145.2</v>
      </c>
      <c r="K50" s="3">
        <v>2538.7</v>
      </c>
      <c r="L50" s="3">
        <v>161.7</v>
      </c>
      <c r="M50" s="3">
        <v>0.1</v>
      </c>
      <c r="N50" s="2">
        <f t="shared" si="6"/>
        <v>2700.4999999999995</v>
      </c>
      <c r="O50" s="3">
        <v>1342.8999999999999</v>
      </c>
      <c r="P50" s="2">
        <f t="shared" si="3"/>
        <v>16717.6</v>
      </c>
    </row>
    <row r="51" spans="1:16" s="1" customFormat="1" ht="15.75">
      <c r="A51" s="38">
        <v>39692</v>
      </c>
      <c r="B51" s="3">
        <v>1618.2</v>
      </c>
      <c r="C51" s="3">
        <v>2176.2</v>
      </c>
      <c r="D51" s="3">
        <v>125.8</v>
      </c>
      <c r="E51" s="2">
        <f t="shared" si="4"/>
        <v>3920.2</v>
      </c>
      <c r="F51" s="4">
        <v>4.3</v>
      </c>
      <c r="G51" s="3">
        <v>4972.9</v>
      </c>
      <c r="H51" s="3">
        <v>257.7</v>
      </c>
      <c r="I51" s="3">
        <v>4658.1</v>
      </c>
      <c r="J51" s="2">
        <f t="shared" si="5"/>
        <v>9888.7</v>
      </c>
      <c r="K51" s="3">
        <v>2593.5</v>
      </c>
      <c r="L51" s="3">
        <v>123</v>
      </c>
      <c r="M51" s="3">
        <v>0</v>
      </c>
      <c r="N51" s="2">
        <f t="shared" si="6"/>
        <v>2716.5</v>
      </c>
      <c r="O51" s="3">
        <v>1102.2</v>
      </c>
      <c r="P51" s="2">
        <f t="shared" si="3"/>
        <v>17631.9</v>
      </c>
    </row>
    <row r="52" spans="1:16" s="1" customFormat="1" ht="15.75">
      <c r="A52" s="38">
        <v>39722</v>
      </c>
      <c r="B52" s="3">
        <v>8130</v>
      </c>
      <c r="C52" s="3">
        <v>2581.6</v>
      </c>
      <c r="D52" s="3">
        <v>102.1</v>
      </c>
      <c r="E52" s="2">
        <f t="shared" si="4"/>
        <v>10813.7</v>
      </c>
      <c r="F52" s="4">
        <v>3.8</v>
      </c>
      <c r="G52" s="3">
        <v>6977</v>
      </c>
      <c r="H52" s="3">
        <v>252.9</v>
      </c>
      <c r="I52" s="3">
        <v>4163.9</v>
      </c>
      <c r="J52" s="2">
        <f t="shared" si="5"/>
        <v>11393.8</v>
      </c>
      <c r="K52" s="3">
        <v>3262.7</v>
      </c>
      <c r="L52" s="3">
        <v>135</v>
      </c>
      <c r="M52" s="3">
        <v>0.2</v>
      </c>
      <c r="N52" s="2">
        <f t="shared" si="6"/>
        <v>3397.8999999999996</v>
      </c>
      <c r="O52" s="3">
        <v>1339.1</v>
      </c>
      <c r="P52" s="2">
        <f t="shared" si="3"/>
        <v>26948.3</v>
      </c>
    </row>
    <row r="53" spans="1:16" s="1" customFormat="1" ht="15.75">
      <c r="A53" s="38">
        <v>39753</v>
      </c>
      <c r="B53" s="3">
        <v>604.7</v>
      </c>
      <c r="C53" s="3">
        <v>2500</v>
      </c>
      <c r="D53" s="3">
        <v>28.3</v>
      </c>
      <c r="E53" s="2">
        <f t="shared" si="4"/>
        <v>3133</v>
      </c>
      <c r="F53" s="4">
        <v>2.5</v>
      </c>
      <c r="G53" s="3">
        <v>5208.4</v>
      </c>
      <c r="H53" s="3">
        <v>250.3</v>
      </c>
      <c r="I53" s="3">
        <v>3652.2</v>
      </c>
      <c r="J53" s="2">
        <f t="shared" si="5"/>
        <v>9110.9</v>
      </c>
      <c r="K53" s="3">
        <v>2112.3</v>
      </c>
      <c r="L53" s="3">
        <v>121.5</v>
      </c>
      <c r="M53" s="3">
        <v>0</v>
      </c>
      <c r="N53" s="2">
        <f t="shared" si="6"/>
        <v>2233.8</v>
      </c>
      <c r="O53" s="3">
        <v>1712.8000000000002</v>
      </c>
      <c r="P53" s="2">
        <f t="shared" si="3"/>
        <v>16193</v>
      </c>
    </row>
    <row r="54" spans="1:16" s="1" customFormat="1" ht="15.75">
      <c r="A54" s="38">
        <v>39783</v>
      </c>
      <c r="B54" s="3">
        <v>1045.2</v>
      </c>
      <c r="C54" s="3">
        <v>2791.8</v>
      </c>
      <c r="D54" s="3">
        <v>18.5</v>
      </c>
      <c r="E54" s="2">
        <f t="shared" si="4"/>
        <v>3855.5</v>
      </c>
      <c r="F54" s="4">
        <v>2.5</v>
      </c>
      <c r="G54" s="3">
        <v>6800.4</v>
      </c>
      <c r="H54" s="3">
        <v>280.7</v>
      </c>
      <c r="I54" s="3">
        <v>3328.1</v>
      </c>
      <c r="J54" s="2">
        <f t="shared" si="5"/>
        <v>10409.199999999999</v>
      </c>
      <c r="K54" s="3">
        <v>3189.3</v>
      </c>
      <c r="L54" s="3">
        <v>137</v>
      </c>
      <c r="M54" s="3">
        <v>0</v>
      </c>
      <c r="N54" s="2">
        <f t="shared" si="6"/>
        <v>3326.3</v>
      </c>
      <c r="O54" s="3">
        <v>573.3</v>
      </c>
      <c r="P54" s="2">
        <f t="shared" si="3"/>
        <v>18166.8</v>
      </c>
    </row>
    <row r="55" spans="1:16" s="1" customFormat="1" ht="15.75">
      <c r="A55" s="38">
        <v>39814</v>
      </c>
      <c r="B55" s="3">
        <v>7374.3</v>
      </c>
      <c r="C55" s="3">
        <v>3005.9</v>
      </c>
      <c r="D55" s="3">
        <v>633.2</v>
      </c>
      <c r="E55" s="2">
        <f t="shared" si="4"/>
        <v>11013.400000000001</v>
      </c>
      <c r="F55" s="4">
        <v>152.4</v>
      </c>
      <c r="G55" s="3">
        <v>6362.5</v>
      </c>
      <c r="H55" s="3">
        <v>238.6</v>
      </c>
      <c r="I55" s="3">
        <v>4033.1</v>
      </c>
      <c r="J55" s="2">
        <f t="shared" si="5"/>
        <v>10634.2</v>
      </c>
      <c r="K55" s="3">
        <v>3292.3</v>
      </c>
      <c r="L55" s="3">
        <v>141</v>
      </c>
      <c r="M55" s="3">
        <v>0.2</v>
      </c>
      <c r="N55" s="2">
        <f t="shared" si="6"/>
        <v>3433.5</v>
      </c>
      <c r="O55" s="3">
        <v>1686.1999999999998</v>
      </c>
      <c r="P55" s="2">
        <f t="shared" si="3"/>
        <v>26919.700000000004</v>
      </c>
    </row>
    <row r="56" spans="1:16" s="1" customFormat="1" ht="15.75">
      <c r="A56" s="38">
        <v>39845</v>
      </c>
      <c r="B56" s="3">
        <v>371.5</v>
      </c>
      <c r="C56" s="3">
        <v>2877.1</v>
      </c>
      <c r="D56" s="3">
        <v>486.8</v>
      </c>
      <c r="E56" s="2">
        <f t="shared" si="4"/>
        <v>3735.4</v>
      </c>
      <c r="F56" s="4">
        <v>120.9</v>
      </c>
      <c r="G56" s="3">
        <v>6541.2</v>
      </c>
      <c r="H56" s="3">
        <v>200.9</v>
      </c>
      <c r="I56" s="3">
        <v>4194.400000000001</v>
      </c>
      <c r="J56" s="2">
        <f t="shared" si="5"/>
        <v>10936.5</v>
      </c>
      <c r="K56" s="3">
        <v>2951.7</v>
      </c>
      <c r="L56" s="3">
        <v>175.4</v>
      </c>
      <c r="M56" s="3">
        <v>0.2</v>
      </c>
      <c r="N56" s="2">
        <f t="shared" si="6"/>
        <v>3127.2999999999997</v>
      </c>
      <c r="O56" s="3">
        <v>1537.1000000000001</v>
      </c>
      <c r="P56" s="2">
        <f t="shared" si="3"/>
        <v>19457.2</v>
      </c>
    </row>
    <row r="57" spans="1:16" s="1" customFormat="1" ht="15.75">
      <c r="A57" s="38">
        <v>39873</v>
      </c>
      <c r="B57" s="3">
        <v>13537.1</v>
      </c>
      <c r="C57" s="3">
        <v>2567.1</v>
      </c>
      <c r="D57" s="3">
        <v>527.8</v>
      </c>
      <c r="E57" s="2">
        <f t="shared" si="4"/>
        <v>16632</v>
      </c>
      <c r="F57" s="4">
        <v>730.8</v>
      </c>
      <c r="G57" s="3">
        <v>6720.4</v>
      </c>
      <c r="H57" s="3">
        <v>273.5</v>
      </c>
      <c r="I57" s="3">
        <v>2919.2</v>
      </c>
      <c r="J57" s="2">
        <f t="shared" si="5"/>
        <v>9913.099999999999</v>
      </c>
      <c r="K57" s="3">
        <v>3479.7</v>
      </c>
      <c r="L57" s="3">
        <v>170.2</v>
      </c>
      <c r="M57" s="3">
        <v>0.2</v>
      </c>
      <c r="N57" s="2">
        <f t="shared" si="6"/>
        <v>3650.0999999999995</v>
      </c>
      <c r="O57" s="3">
        <v>2428</v>
      </c>
      <c r="P57" s="2">
        <f t="shared" si="3"/>
        <v>33354</v>
      </c>
    </row>
    <row r="58" spans="1:16" s="1" customFormat="1" ht="15.75">
      <c r="A58" s="38">
        <v>39904</v>
      </c>
      <c r="B58" s="3">
        <v>2173.1</v>
      </c>
      <c r="C58" s="3">
        <v>2254.4</v>
      </c>
      <c r="D58" s="3">
        <v>514.8</v>
      </c>
      <c r="E58" s="2">
        <f t="shared" si="4"/>
        <v>4942.3</v>
      </c>
      <c r="F58" s="4">
        <v>160.9</v>
      </c>
      <c r="G58" s="3">
        <v>5512</v>
      </c>
      <c r="H58" s="3">
        <v>204.7</v>
      </c>
      <c r="I58" s="3">
        <v>3159.3</v>
      </c>
      <c r="J58" s="2">
        <f t="shared" si="5"/>
        <v>8876</v>
      </c>
      <c r="K58" s="3">
        <v>2352</v>
      </c>
      <c r="L58" s="3">
        <v>155.1</v>
      </c>
      <c r="M58" s="3">
        <v>0.2</v>
      </c>
      <c r="N58" s="2">
        <f t="shared" si="6"/>
        <v>2507.2999999999997</v>
      </c>
      <c r="O58" s="3">
        <v>2393.6000000000004</v>
      </c>
      <c r="P58" s="2">
        <f t="shared" si="3"/>
        <v>18880.1</v>
      </c>
    </row>
    <row r="59" spans="1:16" s="1" customFormat="1" ht="15.75">
      <c r="A59" s="38">
        <v>39934</v>
      </c>
      <c r="B59" s="3">
        <v>1785</v>
      </c>
      <c r="C59" s="3">
        <v>4690.8</v>
      </c>
      <c r="D59" s="3">
        <v>651.5</v>
      </c>
      <c r="E59" s="2">
        <f t="shared" si="4"/>
        <v>7127.3</v>
      </c>
      <c r="F59" s="4">
        <v>166</v>
      </c>
      <c r="G59" s="3">
        <v>6341.3</v>
      </c>
      <c r="H59" s="3">
        <v>917.6</v>
      </c>
      <c r="I59" s="3">
        <v>4762.8</v>
      </c>
      <c r="J59" s="2">
        <f t="shared" si="5"/>
        <v>12021.7</v>
      </c>
      <c r="K59" s="3">
        <v>2652.9</v>
      </c>
      <c r="L59" s="3">
        <v>245.8</v>
      </c>
      <c r="M59" s="3">
        <v>0.1</v>
      </c>
      <c r="N59" s="2">
        <f t="shared" si="6"/>
        <v>2898.8</v>
      </c>
      <c r="O59" s="3">
        <v>1994.2</v>
      </c>
      <c r="P59" s="2">
        <f t="shared" si="3"/>
        <v>24208</v>
      </c>
    </row>
    <row r="60" spans="1:16" s="1" customFormat="1" ht="15.75">
      <c r="A60" s="38">
        <v>39965</v>
      </c>
      <c r="B60" s="3">
        <v>2052.8</v>
      </c>
      <c r="C60" s="3">
        <v>2814.1</v>
      </c>
      <c r="D60" s="3">
        <v>691.9</v>
      </c>
      <c r="E60" s="2">
        <f t="shared" si="4"/>
        <v>5558.799999999999</v>
      </c>
      <c r="F60" s="4">
        <v>135.9</v>
      </c>
      <c r="G60" s="3">
        <v>6221.2</v>
      </c>
      <c r="H60" s="3">
        <v>224.8</v>
      </c>
      <c r="I60" s="3">
        <v>3897.9</v>
      </c>
      <c r="J60" s="2">
        <f t="shared" si="5"/>
        <v>10343.9</v>
      </c>
      <c r="K60" s="3">
        <v>2777</v>
      </c>
      <c r="L60" s="3">
        <v>237.8</v>
      </c>
      <c r="M60" s="3">
        <v>0</v>
      </c>
      <c r="N60" s="2">
        <f t="shared" si="6"/>
        <v>3014.8</v>
      </c>
      <c r="O60" s="3">
        <v>2347.8</v>
      </c>
      <c r="P60" s="2">
        <f t="shared" si="3"/>
        <v>21401.199999999997</v>
      </c>
    </row>
    <row r="61" spans="1:16" s="1" customFormat="1" ht="15.75">
      <c r="A61" s="38">
        <v>39995</v>
      </c>
      <c r="B61" s="3">
        <v>180.6</v>
      </c>
      <c r="C61" s="3">
        <v>2383.4</v>
      </c>
      <c r="D61" s="3">
        <v>693</v>
      </c>
      <c r="E61" s="2">
        <f t="shared" si="4"/>
        <v>3257</v>
      </c>
      <c r="F61" s="4">
        <v>137.5</v>
      </c>
      <c r="G61" s="3">
        <v>8378.4</v>
      </c>
      <c r="H61" s="3">
        <v>285.8</v>
      </c>
      <c r="I61" s="3">
        <v>4841.1</v>
      </c>
      <c r="J61" s="2">
        <f t="shared" si="5"/>
        <v>13505.3</v>
      </c>
      <c r="K61" s="3">
        <v>1996.1</v>
      </c>
      <c r="L61" s="3">
        <v>47</v>
      </c>
      <c r="M61" s="3">
        <v>0</v>
      </c>
      <c r="N61" s="2">
        <f t="shared" si="6"/>
        <v>2043.1</v>
      </c>
      <c r="O61" s="3">
        <v>2597.5</v>
      </c>
      <c r="P61" s="2">
        <f t="shared" si="3"/>
        <v>21540.4</v>
      </c>
    </row>
    <row r="62" spans="1:16" s="1" customFormat="1" ht="15.75">
      <c r="A62" s="38">
        <v>40026</v>
      </c>
      <c r="B62" s="3">
        <v>574</v>
      </c>
      <c r="C62" s="3">
        <v>1866.1</v>
      </c>
      <c r="D62" s="3">
        <v>651.1</v>
      </c>
      <c r="E62" s="2">
        <f t="shared" si="4"/>
        <v>3091.2</v>
      </c>
      <c r="F62" s="4">
        <v>33.3</v>
      </c>
      <c r="G62" s="3">
        <v>11307.4</v>
      </c>
      <c r="H62" s="3">
        <v>276.5</v>
      </c>
      <c r="I62" s="3">
        <v>113.6</v>
      </c>
      <c r="J62" s="2">
        <f t="shared" si="5"/>
        <v>11697.5</v>
      </c>
      <c r="K62" s="3">
        <v>1617.3</v>
      </c>
      <c r="L62" s="3">
        <v>68.8</v>
      </c>
      <c r="M62" s="3">
        <v>0.1</v>
      </c>
      <c r="N62" s="2">
        <f t="shared" si="6"/>
        <v>1686.1999999999998</v>
      </c>
      <c r="O62" s="3">
        <v>2597.9</v>
      </c>
      <c r="P62" s="2">
        <f t="shared" si="3"/>
        <v>19106.1</v>
      </c>
    </row>
    <row r="63" spans="1:16" s="1" customFormat="1" ht="15.75">
      <c r="A63" s="38">
        <v>40057</v>
      </c>
      <c r="B63" s="3">
        <v>475</v>
      </c>
      <c r="C63" s="3">
        <v>2230.8</v>
      </c>
      <c r="D63" s="3">
        <v>611.7</v>
      </c>
      <c r="E63" s="2">
        <f t="shared" si="4"/>
        <v>3317.5</v>
      </c>
      <c r="F63" s="4">
        <v>144.7</v>
      </c>
      <c r="G63" s="3">
        <v>9131.7</v>
      </c>
      <c r="H63" s="3">
        <v>1928.6</v>
      </c>
      <c r="I63" s="3">
        <v>6048.7</v>
      </c>
      <c r="J63" s="2">
        <f t="shared" si="5"/>
        <v>17109</v>
      </c>
      <c r="K63" s="3">
        <v>1418.4</v>
      </c>
      <c r="L63" s="3">
        <v>43.3</v>
      </c>
      <c r="M63" s="3">
        <v>0.1</v>
      </c>
      <c r="N63" s="2">
        <f t="shared" si="6"/>
        <v>1461.8</v>
      </c>
      <c r="O63" s="3">
        <v>2288</v>
      </c>
      <c r="P63" s="2">
        <f t="shared" si="3"/>
        <v>24321</v>
      </c>
    </row>
    <row r="64" spans="1:16" s="1" customFormat="1" ht="15.75">
      <c r="A64" s="38">
        <v>40087</v>
      </c>
      <c r="B64" s="3">
        <v>7464.2</v>
      </c>
      <c r="C64" s="3">
        <v>2505.2</v>
      </c>
      <c r="D64" s="3">
        <v>727.6</v>
      </c>
      <c r="E64" s="2">
        <f t="shared" si="4"/>
        <v>10697</v>
      </c>
      <c r="F64" s="4">
        <v>300.5</v>
      </c>
      <c r="G64" s="3">
        <v>9839.6</v>
      </c>
      <c r="H64" s="3">
        <v>1243</v>
      </c>
      <c r="I64" s="3">
        <v>2743.0800000000004</v>
      </c>
      <c r="J64" s="2">
        <f t="shared" si="5"/>
        <v>13825.68</v>
      </c>
      <c r="K64" s="3">
        <v>1431.2</v>
      </c>
      <c r="L64" s="3">
        <v>45.5</v>
      </c>
      <c r="M64" s="3">
        <v>0.1</v>
      </c>
      <c r="N64" s="2">
        <f t="shared" si="6"/>
        <v>1476.8</v>
      </c>
      <c r="O64" s="3">
        <v>2630.7</v>
      </c>
      <c r="P64" s="2">
        <f t="shared" si="3"/>
        <v>28930.68</v>
      </c>
    </row>
    <row r="65" spans="1:16" s="1" customFormat="1" ht="15.75">
      <c r="A65" s="38">
        <v>40118</v>
      </c>
      <c r="B65" s="3">
        <v>3968.1</v>
      </c>
      <c r="C65" s="3">
        <v>2076.1</v>
      </c>
      <c r="D65" s="3">
        <v>798</v>
      </c>
      <c r="E65" s="2">
        <f t="shared" si="4"/>
        <v>6842.2</v>
      </c>
      <c r="F65" s="4">
        <v>179.1</v>
      </c>
      <c r="G65" s="3">
        <v>9358.4</v>
      </c>
      <c r="H65" s="3">
        <v>1733</v>
      </c>
      <c r="I65" s="3">
        <v>2500.2</v>
      </c>
      <c r="J65" s="2">
        <f t="shared" si="5"/>
        <v>13591.599999999999</v>
      </c>
      <c r="K65" s="3">
        <v>1650</v>
      </c>
      <c r="L65" s="3">
        <v>76.2</v>
      </c>
      <c r="M65" s="3">
        <v>0.1</v>
      </c>
      <c r="N65" s="2">
        <f t="shared" si="6"/>
        <v>1726.3</v>
      </c>
      <c r="O65" s="3">
        <v>2841.4</v>
      </c>
      <c r="P65" s="2">
        <f t="shared" si="3"/>
        <v>25180.6</v>
      </c>
    </row>
    <row r="66" spans="1:16" s="1" customFormat="1" ht="15.75">
      <c r="A66" s="38">
        <v>40148</v>
      </c>
      <c r="B66" s="3">
        <v>346.8</v>
      </c>
      <c r="C66" s="3">
        <v>3088.7</v>
      </c>
      <c r="D66" s="3">
        <v>934.5</v>
      </c>
      <c r="E66" s="2">
        <f t="shared" si="4"/>
        <v>4370</v>
      </c>
      <c r="F66" s="4">
        <v>44.7</v>
      </c>
      <c r="G66" s="3">
        <v>10737.7</v>
      </c>
      <c r="H66" s="3">
        <v>1940.4</v>
      </c>
      <c r="I66" s="3">
        <v>2391.6</v>
      </c>
      <c r="J66" s="2">
        <f t="shared" si="5"/>
        <v>15069.7</v>
      </c>
      <c r="K66" s="3">
        <v>2244.4</v>
      </c>
      <c r="L66" s="3">
        <v>50</v>
      </c>
      <c r="M66" s="3">
        <v>0.3</v>
      </c>
      <c r="N66" s="2">
        <f t="shared" si="6"/>
        <v>2294.7000000000003</v>
      </c>
      <c r="O66" s="3">
        <v>3945.2</v>
      </c>
      <c r="P66" s="2">
        <f t="shared" si="3"/>
        <v>25724.3</v>
      </c>
    </row>
    <row r="67" spans="1:16" s="1" customFormat="1" ht="15.75">
      <c r="A67" s="38">
        <v>40179</v>
      </c>
      <c r="B67" s="3">
        <v>8618.4</v>
      </c>
      <c r="C67" s="2">
        <v>5826.5</v>
      </c>
      <c r="D67" s="2">
        <v>30.7</v>
      </c>
      <c r="E67" s="2">
        <f t="shared" si="4"/>
        <v>14475.6</v>
      </c>
      <c r="F67" s="4">
        <v>0</v>
      </c>
      <c r="G67" s="2">
        <v>9284</v>
      </c>
      <c r="H67" s="4">
        <f>657.4+1014.5</f>
        <v>1671.9</v>
      </c>
      <c r="I67" s="2">
        <f>2905.6+1+455.9</f>
        <v>3362.5</v>
      </c>
      <c r="J67" s="2">
        <f t="shared" si="5"/>
        <v>14318.4</v>
      </c>
      <c r="K67" s="2">
        <v>1309.4</v>
      </c>
      <c r="L67" s="4">
        <v>148.2</v>
      </c>
      <c r="M67" s="4">
        <v>692.1</v>
      </c>
      <c r="N67" s="2">
        <f t="shared" si="6"/>
        <v>2149.7000000000003</v>
      </c>
      <c r="O67" s="2">
        <f>1018.4+398</f>
        <v>1416.4</v>
      </c>
      <c r="P67" s="2">
        <f t="shared" si="3"/>
        <v>32360.1</v>
      </c>
    </row>
    <row r="68" spans="1:16" s="1" customFormat="1" ht="15.75">
      <c r="A68" s="38">
        <v>40210</v>
      </c>
      <c r="B68" s="3">
        <v>545.6</v>
      </c>
      <c r="C68" s="2">
        <v>5499.8</v>
      </c>
      <c r="D68" s="2">
        <v>24.5</v>
      </c>
      <c r="E68" s="2">
        <f t="shared" si="4"/>
        <v>6069.900000000001</v>
      </c>
      <c r="F68" s="4">
        <v>0</v>
      </c>
      <c r="G68" s="2">
        <v>9183</v>
      </c>
      <c r="H68" s="4">
        <f>999.4+42.7</f>
        <v>1042.1</v>
      </c>
      <c r="I68" s="2">
        <f>2770.8+0.2+260.6</f>
        <v>3031.6</v>
      </c>
      <c r="J68" s="2">
        <f t="shared" si="5"/>
        <v>13256.7</v>
      </c>
      <c r="K68" s="2">
        <v>1518.5</v>
      </c>
      <c r="L68" s="4">
        <v>0</v>
      </c>
      <c r="M68" s="4">
        <v>162.4</v>
      </c>
      <c r="N68" s="2">
        <f t="shared" si="6"/>
        <v>1680.9</v>
      </c>
      <c r="O68" s="2">
        <f>1034.2+375.6</f>
        <v>1409.8000000000002</v>
      </c>
      <c r="P68" s="2">
        <f t="shared" si="3"/>
        <v>22417.300000000003</v>
      </c>
    </row>
    <row r="69" spans="1:16" s="1" customFormat="1" ht="15.75">
      <c r="A69" s="38">
        <v>40238</v>
      </c>
      <c r="B69" s="3">
        <v>15065.4</v>
      </c>
      <c r="C69" s="2">
        <v>4723.8</v>
      </c>
      <c r="D69" s="2">
        <v>189.5</v>
      </c>
      <c r="E69" s="2">
        <f t="shared" si="4"/>
        <v>19978.7</v>
      </c>
      <c r="F69" s="4">
        <v>0</v>
      </c>
      <c r="G69" s="2">
        <v>10076.9</v>
      </c>
      <c r="H69" s="4">
        <f>102.5+1092.6</f>
        <v>1195.1</v>
      </c>
      <c r="I69" s="2">
        <f>2483.4+2000.9+552.3</f>
        <v>5036.6</v>
      </c>
      <c r="J69" s="2">
        <f t="shared" si="5"/>
        <v>16308.6</v>
      </c>
      <c r="K69" s="2">
        <v>2072.9</v>
      </c>
      <c r="L69" s="4">
        <v>0</v>
      </c>
      <c r="M69" s="4">
        <v>187.1</v>
      </c>
      <c r="N69" s="2">
        <f t="shared" si="6"/>
        <v>2260</v>
      </c>
      <c r="O69" s="2">
        <f>533.7+410.5</f>
        <v>944.2</v>
      </c>
      <c r="P69" s="2">
        <f t="shared" si="3"/>
        <v>39491.5</v>
      </c>
    </row>
    <row r="70" spans="1:16" s="1" customFormat="1" ht="15.75">
      <c r="A70" s="38">
        <v>40269</v>
      </c>
      <c r="B70" s="3">
        <v>987.8</v>
      </c>
      <c r="C70" s="2">
        <v>3622.7</v>
      </c>
      <c r="D70" s="2">
        <v>65.2</v>
      </c>
      <c r="E70" s="2">
        <f t="shared" si="4"/>
        <v>4675.7</v>
      </c>
      <c r="F70" s="4">
        <v>0</v>
      </c>
      <c r="G70" s="2">
        <v>10128.1</v>
      </c>
      <c r="H70" s="4">
        <f>337+942.3</f>
        <v>1279.3</v>
      </c>
      <c r="I70" s="2">
        <f>2877.3+0.2+251.5</f>
        <v>3129</v>
      </c>
      <c r="J70" s="2">
        <f t="shared" si="5"/>
        <v>14536.4</v>
      </c>
      <c r="K70" s="2">
        <v>2513.3</v>
      </c>
      <c r="L70" s="4">
        <v>3</v>
      </c>
      <c r="M70" s="4">
        <v>346.1</v>
      </c>
      <c r="N70" s="2">
        <f t="shared" si="6"/>
        <v>2862.4</v>
      </c>
      <c r="O70" s="2">
        <v>1934.3</v>
      </c>
      <c r="P70" s="2">
        <f t="shared" si="3"/>
        <v>24008.8</v>
      </c>
    </row>
    <row r="71" spans="1:16" s="1" customFormat="1" ht="15.75">
      <c r="A71" s="38">
        <v>40299</v>
      </c>
      <c r="B71" s="3">
        <v>3651.6</v>
      </c>
      <c r="C71" s="2">
        <v>2839.1</v>
      </c>
      <c r="D71" s="2">
        <v>57.4</v>
      </c>
      <c r="E71" s="2">
        <f t="shared" si="4"/>
        <v>6548.099999999999</v>
      </c>
      <c r="F71" s="4">
        <v>0</v>
      </c>
      <c r="G71" s="2">
        <v>8360</v>
      </c>
      <c r="H71" s="4">
        <f>267.4+546.7</f>
        <v>814.1</v>
      </c>
      <c r="I71" s="2">
        <f>2933.4+520.8+153.1</f>
        <v>3607.2999999999997</v>
      </c>
      <c r="J71" s="2">
        <f t="shared" si="5"/>
        <v>12781.4</v>
      </c>
      <c r="K71" s="2">
        <v>2139.5</v>
      </c>
      <c r="L71" s="4">
        <v>15.2</v>
      </c>
      <c r="M71" s="4">
        <v>307.9</v>
      </c>
      <c r="N71" s="2">
        <f t="shared" si="6"/>
        <v>2462.6</v>
      </c>
      <c r="O71" s="2">
        <v>649.6</v>
      </c>
      <c r="P71" s="2">
        <f t="shared" si="3"/>
        <v>22441.699999999997</v>
      </c>
    </row>
    <row r="72" spans="1:16" s="1" customFormat="1" ht="15.75">
      <c r="A72" s="38">
        <v>40330</v>
      </c>
      <c r="B72" s="3">
        <v>2363.9</v>
      </c>
      <c r="C72" s="2">
        <v>3784.2</v>
      </c>
      <c r="D72" s="2">
        <v>77.9</v>
      </c>
      <c r="E72" s="2">
        <f t="shared" si="4"/>
        <v>6226</v>
      </c>
      <c r="F72" s="4">
        <v>0</v>
      </c>
      <c r="G72" s="2">
        <v>11396.6</v>
      </c>
      <c r="H72" s="4">
        <f>408.6+770</f>
        <v>1178.6</v>
      </c>
      <c r="I72" s="2">
        <f>4.2+2901.1+221.3</f>
        <v>3126.6</v>
      </c>
      <c r="J72" s="2">
        <f t="shared" si="5"/>
        <v>15701.800000000001</v>
      </c>
      <c r="K72" s="2">
        <v>2634.1</v>
      </c>
      <c r="L72" s="4">
        <v>2.4</v>
      </c>
      <c r="M72" s="4">
        <v>342.8</v>
      </c>
      <c r="N72" s="2">
        <f t="shared" si="6"/>
        <v>2979.3</v>
      </c>
      <c r="O72" s="2">
        <v>469.74</v>
      </c>
      <c r="P72" s="2">
        <f aca="true" t="shared" si="7" ref="P72:P135">O72+N72+J72+F72+E72</f>
        <v>25376.84</v>
      </c>
    </row>
    <row r="73" spans="1:16" s="1" customFormat="1" ht="15.75">
      <c r="A73" s="38">
        <v>40360</v>
      </c>
      <c r="B73" s="3">
        <v>3051.4</v>
      </c>
      <c r="C73" s="2">
        <v>4004.5</v>
      </c>
      <c r="D73" s="2">
        <v>336.7</v>
      </c>
      <c r="E73" s="2">
        <f t="shared" si="4"/>
        <v>7392.599999999999</v>
      </c>
      <c r="F73" s="4">
        <v>0</v>
      </c>
      <c r="G73" s="2">
        <v>11169.6</v>
      </c>
      <c r="H73" s="4">
        <f>322+951.9</f>
        <v>1273.9</v>
      </c>
      <c r="I73" s="2">
        <f>3252.7+600.7+216.5</f>
        <v>4069.8999999999996</v>
      </c>
      <c r="J73" s="2">
        <f t="shared" si="5"/>
        <v>16513.4</v>
      </c>
      <c r="K73" s="2">
        <v>2643.4</v>
      </c>
      <c r="L73" s="4">
        <v>8.1</v>
      </c>
      <c r="M73" s="4">
        <v>321.9</v>
      </c>
      <c r="N73" s="2">
        <f t="shared" si="6"/>
        <v>2973.4</v>
      </c>
      <c r="O73" s="2">
        <f>1516+469.7</f>
        <v>1985.7</v>
      </c>
      <c r="P73" s="2">
        <f t="shared" si="7"/>
        <v>28865.1</v>
      </c>
    </row>
    <row r="74" spans="1:16" s="1" customFormat="1" ht="15.75">
      <c r="A74" s="38">
        <v>40391</v>
      </c>
      <c r="B74" s="3">
        <v>2747.1</v>
      </c>
      <c r="C74" s="2">
        <v>4172.9</v>
      </c>
      <c r="D74" s="2">
        <v>273.8</v>
      </c>
      <c r="E74" s="2">
        <f t="shared" si="4"/>
        <v>7193.8</v>
      </c>
      <c r="F74" s="4">
        <v>0</v>
      </c>
      <c r="G74" s="2">
        <v>11458.6</v>
      </c>
      <c r="H74" s="4">
        <f>1006.5+282.5</f>
        <v>1289</v>
      </c>
      <c r="I74" s="2">
        <f>3694.5+1.8+208.4</f>
        <v>3904.7000000000003</v>
      </c>
      <c r="J74" s="2">
        <f t="shared" si="5"/>
        <v>16652.3</v>
      </c>
      <c r="K74" s="2">
        <v>3270.5</v>
      </c>
      <c r="L74" s="4">
        <v>4</v>
      </c>
      <c r="M74" s="4">
        <v>343.1</v>
      </c>
      <c r="N74" s="2">
        <f t="shared" si="6"/>
        <v>3617.6</v>
      </c>
      <c r="O74" s="2">
        <f>2833.4+1395.6</f>
        <v>4229</v>
      </c>
      <c r="P74" s="2">
        <f t="shared" si="7"/>
        <v>31692.7</v>
      </c>
    </row>
    <row r="75" spans="1:16" s="1" customFormat="1" ht="15.75">
      <c r="A75" s="38">
        <v>40422</v>
      </c>
      <c r="B75" s="3">
        <v>2298.3</v>
      </c>
      <c r="C75" s="2">
        <v>4678.1</v>
      </c>
      <c r="D75" s="2">
        <v>203.1</v>
      </c>
      <c r="E75" s="2">
        <f t="shared" si="4"/>
        <v>7179.500000000001</v>
      </c>
      <c r="F75" s="4">
        <v>0</v>
      </c>
      <c r="G75" s="2">
        <v>12825.3</v>
      </c>
      <c r="H75" s="4">
        <f>183.1+988.5</f>
        <v>1171.6</v>
      </c>
      <c r="I75" s="2">
        <f>3872.8+3.5+210.3</f>
        <v>4086.6000000000004</v>
      </c>
      <c r="J75" s="2">
        <f t="shared" si="5"/>
        <v>18083.5</v>
      </c>
      <c r="K75" s="2">
        <v>3296.5</v>
      </c>
      <c r="L75" s="4">
        <v>11.1</v>
      </c>
      <c r="M75" s="4">
        <v>314.8</v>
      </c>
      <c r="N75" s="2">
        <f t="shared" si="6"/>
        <v>3622.4</v>
      </c>
      <c r="O75" s="2">
        <v>655.2</v>
      </c>
      <c r="P75" s="2">
        <f t="shared" si="7"/>
        <v>29540.6</v>
      </c>
    </row>
    <row r="76" spans="1:16" s="1" customFormat="1" ht="15.75">
      <c r="A76" s="38">
        <v>40452</v>
      </c>
      <c r="B76" s="3">
        <v>11253.9</v>
      </c>
      <c r="C76" s="2">
        <v>4709.6</v>
      </c>
      <c r="D76" s="2">
        <v>556.45</v>
      </c>
      <c r="E76" s="2">
        <f t="shared" si="4"/>
        <v>16519.95</v>
      </c>
      <c r="F76" s="4">
        <v>0</v>
      </c>
      <c r="G76" s="2">
        <v>13296.1</v>
      </c>
      <c r="H76" s="4">
        <f>423+965.5</f>
        <v>1388.5</v>
      </c>
      <c r="I76" s="2">
        <f>3497.7+1.7+177.6</f>
        <v>3676.9999999999995</v>
      </c>
      <c r="J76" s="2">
        <f t="shared" si="5"/>
        <v>18361.6</v>
      </c>
      <c r="K76" s="2">
        <v>3340.1</v>
      </c>
      <c r="L76" s="4">
        <v>8.8</v>
      </c>
      <c r="M76" s="4">
        <v>389.8</v>
      </c>
      <c r="N76" s="2">
        <f t="shared" si="6"/>
        <v>3738.7000000000003</v>
      </c>
      <c r="O76" s="2">
        <v>940.9</v>
      </c>
      <c r="P76" s="2">
        <f t="shared" si="7"/>
        <v>39561.149999999994</v>
      </c>
    </row>
    <row r="77" spans="1:16" s="1" customFormat="1" ht="15.75">
      <c r="A77" s="38">
        <v>40483</v>
      </c>
      <c r="B77" s="3">
        <v>2564.3</v>
      </c>
      <c r="C77" s="2">
        <v>4871.4</v>
      </c>
      <c r="D77" s="2">
        <v>233.715</v>
      </c>
      <c r="E77" s="2">
        <f t="shared" si="4"/>
        <v>7669.415</v>
      </c>
      <c r="F77" s="4">
        <v>0</v>
      </c>
      <c r="G77" s="2">
        <v>11032.5</v>
      </c>
      <c r="H77" s="4">
        <f>319.6+1298.6</f>
        <v>1618.1999999999998</v>
      </c>
      <c r="I77" s="2">
        <f>3185.8+764.3+219</f>
        <v>4169.1</v>
      </c>
      <c r="J77" s="2">
        <f t="shared" si="5"/>
        <v>16819.800000000003</v>
      </c>
      <c r="K77" s="2">
        <v>4120.6</v>
      </c>
      <c r="L77" s="4">
        <v>8.8</v>
      </c>
      <c r="M77" s="4">
        <v>300.9</v>
      </c>
      <c r="N77" s="2">
        <f t="shared" si="6"/>
        <v>4430.3</v>
      </c>
      <c r="O77" s="2">
        <v>1070.5</v>
      </c>
      <c r="P77" s="2">
        <f t="shared" si="7"/>
        <v>29990.015000000003</v>
      </c>
    </row>
    <row r="78" spans="1:16" s="1" customFormat="1" ht="15.75">
      <c r="A78" s="38">
        <v>40513</v>
      </c>
      <c r="B78" s="3">
        <v>3615.9</v>
      </c>
      <c r="C78" s="2">
        <v>6591.9</v>
      </c>
      <c r="D78" s="2">
        <v>221.645</v>
      </c>
      <c r="E78" s="2">
        <f t="shared" si="4"/>
        <v>10429.445</v>
      </c>
      <c r="F78" s="4">
        <v>0</v>
      </c>
      <c r="G78" s="2">
        <v>13586.7</v>
      </c>
      <c r="H78" s="4">
        <f>1532.8+299.1</f>
        <v>1831.9</v>
      </c>
      <c r="I78" s="2">
        <f>941.4+3131.4+2304.2</f>
        <v>6377</v>
      </c>
      <c r="J78" s="2">
        <f t="shared" si="5"/>
        <v>21795.6</v>
      </c>
      <c r="K78" s="2">
        <v>3911.7</v>
      </c>
      <c r="L78" s="4">
        <v>7.2</v>
      </c>
      <c r="M78" s="4">
        <v>444.7</v>
      </c>
      <c r="N78" s="2">
        <f t="shared" si="6"/>
        <v>4363.599999999999</v>
      </c>
      <c r="O78" s="2">
        <v>753</v>
      </c>
      <c r="P78" s="2">
        <f t="shared" si="7"/>
        <v>37341.645</v>
      </c>
    </row>
    <row r="79" spans="1:16" s="1" customFormat="1" ht="15.75">
      <c r="A79" s="38">
        <v>40544</v>
      </c>
      <c r="B79" s="3">
        <v>11193.373</v>
      </c>
      <c r="C79" s="3">
        <v>4191.926</v>
      </c>
      <c r="D79" s="3">
        <v>68.351</v>
      </c>
      <c r="E79" s="2">
        <f t="shared" si="4"/>
        <v>15453.65</v>
      </c>
      <c r="F79" s="4">
        <v>0</v>
      </c>
      <c r="G79" s="3">
        <v>12042.902</v>
      </c>
      <c r="H79" s="3">
        <v>1619.122</v>
      </c>
      <c r="I79" s="3">
        <v>3435.4</v>
      </c>
      <c r="J79" s="2">
        <f t="shared" si="5"/>
        <v>17097.424</v>
      </c>
      <c r="K79" s="3">
        <v>3294.275</v>
      </c>
      <c r="L79" s="3">
        <v>2.282</v>
      </c>
      <c r="M79" s="3">
        <v>373.535</v>
      </c>
      <c r="N79" s="2">
        <f t="shared" si="6"/>
        <v>3670.092</v>
      </c>
      <c r="O79" s="3">
        <v>204.557</v>
      </c>
      <c r="P79" s="2">
        <f t="shared" si="7"/>
        <v>36425.723</v>
      </c>
    </row>
    <row r="80" spans="1:16" s="1" customFormat="1" ht="15.75">
      <c r="A80" s="38">
        <v>40575</v>
      </c>
      <c r="B80" s="3">
        <v>1675.441</v>
      </c>
      <c r="C80" s="3">
        <v>3789.239</v>
      </c>
      <c r="D80" s="3">
        <v>30.026</v>
      </c>
      <c r="E80" s="2">
        <f t="shared" si="4"/>
        <v>5494.706</v>
      </c>
      <c r="F80" s="4">
        <v>0</v>
      </c>
      <c r="G80" s="3">
        <v>12914.491</v>
      </c>
      <c r="H80" s="3">
        <v>1498.742</v>
      </c>
      <c r="I80" s="3">
        <v>4226.842000000001</v>
      </c>
      <c r="J80" s="2">
        <f t="shared" si="5"/>
        <v>18640.075</v>
      </c>
      <c r="K80" s="3">
        <v>3740.437</v>
      </c>
      <c r="L80" s="3">
        <v>4.95</v>
      </c>
      <c r="M80" s="3">
        <v>327.989</v>
      </c>
      <c r="N80" s="2">
        <f t="shared" si="6"/>
        <v>4073.3759999999997</v>
      </c>
      <c r="O80" s="3">
        <v>219.28</v>
      </c>
      <c r="P80" s="2">
        <f t="shared" si="7"/>
        <v>28427.436999999998</v>
      </c>
    </row>
    <row r="81" spans="1:16" s="1" customFormat="1" ht="15.75">
      <c r="A81" s="38">
        <v>40603</v>
      </c>
      <c r="B81" s="3">
        <v>22847.137</v>
      </c>
      <c r="C81" s="3">
        <v>5681.723</v>
      </c>
      <c r="D81" s="3">
        <v>26.698</v>
      </c>
      <c r="E81" s="2">
        <f t="shared" si="4"/>
        <v>28555.558</v>
      </c>
      <c r="F81" s="4">
        <v>0</v>
      </c>
      <c r="G81" s="3">
        <v>14264.965</v>
      </c>
      <c r="H81" s="3">
        <v>2063.431</v>
      </c>
      <c r="I81" s="3">
        <v>3705.623</v>
      </c>
      <c r="J81" s="2">
        <f t="shared" si="5"/>
        <v>20034.019</v>
      </c>
      <c r="K81" s="3">
        <v>3966.068</v>
      </c>
      <c r="L81" s="3">
        <v>7.045</v>
      </c>
      <c r="M81" s="3">
        <v>415.908</v>
      </c>
      <c r="N81" s="2">
        <f t="shared" si="6"/>
        <v>4389.021000000001</v>
      </c>
      <c r="O81" s="3">
        <v>456.33500000000004</v>
      </c>
      <c r="P81" s="2">
        <f t="shared" si="7"/>
        <v>53434.933000000005</v>
      </c>
    </row>
    <row r="82" spans="1:16" s="1" customFormat="1" ht="15.75">
      <c r="A82" s="38">
        <v>40634</v>
      </c>
      <c r="B82" s="3">
        <v>2324.979</v>
      </c>
      <c r="C82" s="3">
        <v>4584.584</v>
      </c>
      <c r="D82" s="3">
        <v>30.999</v>
      </c>
      <c r="E82" s="2">
        <f t="shared" si="4"/>
        <v>6940.562</v>
      </c>
      <c r="F82" s="4">
        <v>0</v>
      </c>
      <c r="G82" s="3">
        <v>12804.184</v>
      </c>
      <c r="H82" s="3">
        <v>1591.291</v>
      </c>
      <c r="I82" s="3">
        <v>4363.83</v>
      </c>
      <c r="J82" s="2">
        <f t="shared" si="5"/>
        <v>18759.305</v>
      </c>
      <c r="K82" s="3">
        <v>3599.254</v>
      </c>
      <c r="L82" s="3">
        <v>11.063</v>
      </c>
      <c r="M82" s="3">
        <v>413.595</v>
      </c>
      <c r="N82" s="2">
        <f t="shared" si="6"/>
        <v>4023.9120000000003</v>
      </c>
      <c r="O82" s="3">
        <v>15141.17</v>
      </c>
      <c r="P82" s="2">
        <f t="shared" si="7"/>
        <v>44864.949</v>
      </c>
    </row>
    <row r="83" spans="1:16" s="1" customFormat="1" ht="15.75">
      <c r="A83" s="38">
        <v>40664</v>
      </c>
      <c r="B83" s="3">
        <v>4033.1</v>
      </c>
      <c r="C83" s="3">
        <v>3883.056</v>
      </c>
      <c r="D83" s="3">
        <v>68.966</v>
      </c>
      <c r="E83" s="2">
        <f t="shared" si="4"/>
        <v>7985.122</v>
      </c>
      <c r="F83" s="4">
        <v>0</v>
      </c>
      <c r="G83" s="3">
        <v>13069.68</v>
      </c>
      <c r="H83" s="3">
        <v>1380.021</v>
      </c>
      <c r="I83" s="3">
        <v>4194.686</v>
      </c>
      <c r="J83" s="2">
        <f t="shared" si="5"/>
        <v>18644.387000000002</v>
      </c>
      <c r="K83" s="3">
        <v>4070.3</v>
      </c>
      <c r="L83" s="3">
        <v>12.226</v>
      </c>
      <c r="M83" s="3">
        <v>318.5</v>
      </c>
      <c r="N83" s="2">
        <f t="shared" si="6"/>
        <v>4401.026</v>
      </c>
      <c r="O83" s="3">
        <v>190.196</v>
      </c>
      <c r="P83" s="2">
        <f t="shared" si="7"/>
        <v>31220.731000000003</v>
      </c>
    </row>
    <row r="84" spans="1:16" s="1" customFormat="1" ht="15.75">
      <c r="A84" s="38">
        <v>40695</v>
      </c>
      <c r="B84" s="3">
        <v>1239.172</v>
      </c>
      <c r="C84" s="3">
        <v>4412.512</v>
      </c>
      <c r="D84" s="3">
        <v>74.424</v>
      </c>
      <c r="E84" s="2">
        <f t="shared" si="4"/>
        <v>5726.107999999999</v>
      </c>
      <c r="F84" s="4">
        <v>0</v>
      </c>
      <c r="G84" s="3">
        <v>14450.19</v>
      </c>
      <c r="H84" s="3">
        <v>1623.521</v>
      </c>
      <c r="I84" s="3">
        <v>4258.534</v>
      </c>
      <c r="J84" s="2">
        <f t="shared" si="5"/>
        <v>20332.245000000003</v>
      </c>
      <c r="K84" s="3">
        <v>4324.516</v>
      </c>
      <c r="L84" s="3">
        <v>1.763</v>
      </c>
      <c r="M84" s="3">
        <v>291.638</v>
      </c>
      <c r="N84" s="2">
        <f t="shared" si="6"/>
        <v>4617.9169999999995</v>
      </c>
      <c r="O84" s="3">
        <v>172.58700000000002</v>
      </c>
      <c r="P84" s="2">
        <f t="shared" si="7"/>
        <v>30848.857000000004</v>
      </c>
    </row>
    <row r="85" spans="1:16" s="1" customFormat="1" ht="15.75">
      <c r="A85" s="38">
        <v>40725</v>
      </c>
      <c r="B85" s="3">
        <v>1219.696</v>
      </c>
      <c r="C85" s="3">
        <v>4295.947</v>
      </c>
      <c r="D85" s="3">
        <v>28.93</v>
      </c>
      <c r="E85" s="2">
        <f t="shared" si="4"/>
        <v>5544.573</v>
      </c>
      <c r="F85" s="4">
        <v>0</v>
      </c>
      <c r="G85" s="3">
        <v>14178.181</v>
      </c>
      <c r="H85" s="3">
        <v>1571.79</v>
      </c>
      <c r="I85" s="3">
        <v>4184.89</v>
      </c>
      <c r="J85" s="2">
        <f t="shared" si="5"/>
        <v>19934.861</v>
      </c>
      <c r="K85" s="3">
        <v>3952.425</v>
      </c>
      <c r="L85" s="3">
        <v>10.032</v>
      </c>
      <c r="M85" s="3">
        <v>406.368</v>
      </c>
      <c r="N85" s="2">
        <f t="shared" si="6"/>
        <v>4368.825000000001</v>
      </c>
      <c r="O85" s="3">
        <v>167.11700000000002</v>
      </c>
      <c r="P85" s="2">
        <f t="shared" si="7"/>
        <v>30015.376</v>
      </c>
    </row>
    <row r="86" spans="1:16" s="1" customFormat="1" ht="15.75">
      <c r="A86" s="38">
        <v>40756</v>
      </c>
      <c r="B86" s="3">
        <v>1984.742</v>
      </c>
      <c r="C86" s="3">
        <v>3164.838</v>
      </c>
      <c r="D86" s="3">
        <v>14.7</v>
      </c>
      <c r="E86" s="2">
        <f t="shared" si="4"/>
        <v>5164.28</v>
      </c>
      <c r="F86" s="4">
        <v>0</v>
      </c>
      <c r="G86" s="3">
        <v>17369.286</v>
      </c>
      <c r="H86" s="3">
        <v>1394.368</v>
      </c>
      <c r="I86" s="3">
        <v>5645.677</v>
      </c>
      <c r="J86" s="2">
        <f t="shared" si="5"/>
        <v>24409.331</v>
      </c>
      <c r="K86" s="3">
        <v>4139.981</v>
      </c>
      <c r="L86" s="3">
        <v>21.548</v>
      </c>
      <c r="M86" s="3">
        <v>355.063</v>
      </c>
      <c r="N86" s="2">
        <f t="shared" si="6"/>
        <v>4516.592</v>
      </c>
      <c r="O86" s="3">
        <v>171.178</v>
      </c>
      <c r="P86" s="2">
        <f t="shared" si="7"/>
        <v>34261.381</v>
      </c>
    </row>
    <row r="87" spans="1:16" s="1" customFormat="1" ht="15.75">
      <c r="A87" s="38">
        <v>40787</v>
      </c>
      <c r="B87" s="3">
        <v>3463.701</v>
      </c>
      <c r="C87" s="3">
        <v>5099.903</v>
      </c>
      <c r="D87" s="3">
        <v>119.4</v>
      </c>
      <c r="E87" s="2">
        <f t="shared" si="4"/>
        <v>8683.003999999999</v>
      </c>
      <c r="F87" s="4">
        <v>0</v>
      </c>
      <c r="G87" s="3">
        <v>18006.079</v>
      </c>
      <c r="H87" s="3">
        <v>1613.5389999999998</v>
      </c>
      <c r="I87" s="3">
        <v>4759.073</v>
      </c>
      <c r="J87" s="2">
        <f t="shared" si="5"/>
        <v>24378.691000000003</v>
      </c>
      <c r="K87" s="3">
        <v>4388.647</v>
      </c>
      <c r="L87" s="3">
        <v>23.211</v>
      </c>
      <c r="M87" s="3">
        <v>817.07</v>
      </c>
      <c r="N87" s="2">
        <f t="shared" si="6"/>
        <v>5228.928</v>
      </c>
      <c r="O87" s="3">
        <v>37.19</v>
      </c>
      <c r="P87" s="2">
        <f t="shared" si="7"/>
        <v>38327.813</v>
      </c>
    </row>
    <row r="88" spans="1:16" s="1" customFormat="1" ht="15.75">
      <c r="A88" s="38">
        <v>40817</v>
      </c>
      <c r="B88" s="3">
        <v>15440.154</v>
      </c>
      <c r="C88" s="3">
        <v>4571.614</v>
      </c>
      <c r="D88" s="3">
        <v>22</v>
      </c>
      <c r="E88" s="2">
        <f t="shared" si="4"/>
        <v>20033.768</v>
      </c>
      <c r="F88" s="4">
        <v>0</v>
      </c>
      <c r="G88" s="3">
        <v>15551.313</v>
      </c>
      <c r="H88" s="3">
        <v>1451.0610000000001</v>
      </c>
      <c r="I88" s="3">
        <v>4311.805</v>
      </c>
      <c r="J88" s="2">
        <f t="shared" si="5"/>
        <v>21314.179</v>
      </c>
      <c r="K88" s="3">
        <v>4256.145</v>
      </c>
      <c r="L88" s="3">
        <v>27.211</v>
      </c>
      <c r="M88" s="3">
        <v>456.978</v>
      </c>
      <c r="N88" s="2">
        <f t="shared" si="6"/>
        <v>4740.334000000001</v>
      </c>
      <c r="O88" s="3">
        <v>130.899</v>
      </c>
      <c r="P88" s="2">
        <f t="shared" si="7"/>
        <v>46219.18</v>
      </c>
    </row>
    <row r="89" spans="1:16" s="1" customFormat="1" ht="15.75">
      <c r="A89" s="38">
        <v>40848</v>
      </c>
      <c r="B89" s="3">
        <v>2387.085</v>
      </c>
      <c r="C89" s="3">
        <v>4405.018</v>
      </c>
      <c r="D89" s="3">
        <v>31.2</v>
      </c>
      <c r="E89" s="2">
        <f t="shared" si="4"/>
        <v>6823.303</v>
      </c>
      <c r="F89" s="4">
        <v>0</v>
      </c>
      <c r="G89" s="3">
        <v>15193.466</v>
      </c>
      <c r="H89" s="3">
        <v>1741.164</v>
      </c>
      <c r="I89" s="3">
        <v>3292.212</v>
      </c>
      <c r="J89" s="2">
        <f t="shared" si="5"/>
        <v>20226.842</v>
      </c>
      <c r="K89" s="3">
        <v>4297.062</v>
      </c>
      <c r="L89" s="3">
        <v>12.658</v>
      </c>
      <c r="M89" s="3">
        <v>384.773</v>
      </c>
      <c r="N89" s="2">
        <f t="shared" si="6"/>
        <v>4694.493</v>
      </c>
      <c r="O89" s="3">
        <v>127.077</v>
      </c>
      <c r="P89" s="2">
        <f t="shared" si="7"/>
        <v>31871.715</v>
      </c>
    </row>
    <row r="90" spans="1:16" s="1" customFormat="1" ht="15.75">
      <c r="A90" s="38">
        <v>40878</v>
      </c>
      <c r="B90" s="3">
        <v>2818.9</v>
      </c>
      <c r="C90" s="3">
        <v>4727.2</v>
      </c>
      <c r="D90" s="3">
        <v>21.2</v>
      </c>
      <c r="E90" s="2">
        <f t="shared" si="4"/>
        <v>7567.3</v>
      </c>
      <c r="F90" s="4">
        <v>0</v>
      </c>
      <c r="G90" s="3">
        <v>17482.7</v>
      </c>
      <c r="H90" s="3">
        <v>925.9</v>
      </c>
      <c r="I90" s="3">
        <v>3734.8</v>
      </c>
      <c r="J90" s="2">
        <f t="shared" si="5"/>
        <v>22143.4</v>
      </c>
      <c r="K90" s="3">
        <v>4800.6</v>
      </c>
      <c r="L90" s="3">
        <v>28</v>
      </c>
      <c r="M90" s="3">
        <v>387.3</v>
      </c>
      <c r="N90" s="2">
        <f t="shared" si="6"/>
        <v>5215.900000000001</v>
      </c>
      <c r="O90" s="3">
        <v>129.7</v>
      </c>
      <c r="P90" s="2">
        <f t="shared" si="7"/>
        <v>35056.3</v>
      </c>
    </row>
    <row r="91" spans="1:16" s="1" customFormat="1" ht="15.75">
      <c r="A91" s="38">
        <v>40909</v>
      </c>
      <c r="B91" s="5">
        <v>16619.205</v>
      </c>
      <c r="C91" s="5">
        <v>7175.262</v>
      </c>
      <c r="D91" s="5">
        <v>29.298</v>
      </c>
      <c r="E91" s="2">
        <f t="shared" si="4"/>
        <v>23823.765</v>
      </c>
      <c r="F91" s="4">
        <v>0</v>
      </c>
      <c r="G91" s="5">
        <v>17081.664</v>
      </c>
      <c r="H91" s="5">
        <v>1008.53</v>
      </c>
      <c r="I91" s="5">
        <v>4549.7196</v>
      </c>
      <c r="J91" s="2">
        <f t="shared" si="5"/>
        <v>22639.9136</v>
      </c>
      <c r="K91" s="5">
        <v>3957.932</v>
      </c>
      <c r="L91" s="5">
        <v>39.974</v>
      </c>
      <c r="M91" s="5">
        <v>478.424</v>
      </c>
      <c r="N91" s="2">
        <f t="shared" si="6"/>
        <v>4476.33</v>
      </c>
      <c r="O91" s="5">
        <v>299.284</v>
      </c>
      <c r="P91" s="2">
        <f t="shared" si="7"/>
        <v>51239.2926</v>
      </c>
    </row>
    <row r="92" spans="1:16" s="1" customFormat="1" ht="15.75">
      <c r="A92" s="38">
        <v>40940</v>
      </c>
      <c r="B92" s="5">
        <v>2112.072</v>
      </c>
      <c r="C92" s="5">
        <v>5373.968</v>
      </c>
      <c r="D92" s="5">
        <v>19.068</v>
      </c>
      <c r="E92" s="2">
        <f t="shared" si="4"/>
        <v>7505.108</v>
      </c>
      <c r="F92" s="4">
        <v>0</v>
      </c>
      <c r="G92" s="5">
        <v>16321.916</v>
      </c>
      <c r="H92" s="5">
        <v>1121.1689999999999</v>
      </c>
      <c r="I92" s="5">
        <v>4186.827</v>
      </c>
      <c r="J92" s="2">
        <f t="shared" si="5"/>
        <v>21629.912</v>
      </c>
      <c r="K92" s="5">
        <v>3761.252</v>
      </c>
      <c r="L92" s="35">
        <v>0</v>
      </c>
      <c r="M92" s="5">
        <v>442.652</v>
      </c>
      <c r="N92" s="2">
        <f t="shared" si="6"/>
        <v>4203.9039999999995</v>
      </c>
      <c r="O92" s="5">
        <v>743.389</v>
      </c>
      <c r="P92" s="2">
        <f t="shared" si="7"/>
        <v>34082.313</v>
      </c>
    </row>
    <row r="93" spans="1:16" s="1" customFormat="1" ht="15.75">
      <c r="A93" s="38">
        <v>40969</v>
      </c>
      <c r="B93" s="5">
        <v>22308.353</v>
      </c>
      <c r="C93" s="5">
        <v>5910.321</v>
      </c>
      <c r="D93" s="5">
        <v>13.684</v>
      </c>
      <c r="E93" s="2">
        <f t="shared" si="4"/>
        <v>28232.358</v>
      </c>
      <c r="F93" s="4">
        <v>0</v>
      </c>
      <c r="G93" s="5">
        <v>14459.909</v>
      </c>
      <c r="H93" s="5">
        <v>935.502</v>
      </c>
      <c r="I93" s="5">
        <v>3688.7709999999997</v>
      </c>
      <c r="J93" s="2">
        <f t="shared" si="5"/>
        <v>19084.182</v>
      </c>
      <c r="K93" s="5">
        <v>3559.807</v>
      </c>
      <c r="L93" s="35">
        <v>0</v>
      </c>
      <c r="M93" s="5">
        <v>434.439</v>
      </c>
      <c r="N93" s="2">
        <f t="shared" si="6"/>
        <v>3994.2459999999996</v>
      </c>
      <c r="O93" s="6">
        <v>841.983</v>
      </c>
      <c r="P93" s="2">
        <f t="shared" si="7"/>
        <v>52152.769</v>
      </c>
    </row>
    <row r="94" spans="1:16" s="1" customFormat="1" ht="15.75">
      <c r="A94" s="38">
        <v>41000</v>
      </c>
      <c r="B94" s="5">
        <v>3729.722</v>
      </c>
      <c r="C94" s="5">
        <v>6122.902</v>
      </c>
      <c r="D94" s="5">
        <v>25.506</v>
      </c>
      <c r="E94" s="2">
        <f t="shared" si="4"/>
        <v>9878.13</v>
      </c>
      <c r="F94" s="4">
        <v>0</v>
      </c>
      <c r="G94" s="5">
        <v>16658.275</v>
      </c>
      <c r="H94" s="5">
        <v>401.932</v>
      </c>
      <c r="I94" s="5">
        <v>4155.509</v>
      </c>
      <c r="J94" s="2">
        <f t="shared" si="5"/>
        <v>21215.716</v>
      </c>
      <c r="K94" s="5">
        <v>3412.005</v>
      </c>
      <c r="L94" s="5">
        <v>5.567</v>
      </c>
      <c r="M94" s="5">
        <v>379.09</v>
      </c>
      <c r="N94" s="2">
        <f t="shared" si="6"/>
        <v>3796.6620000000003</v>
      </c>
      <c r="O94" s="6">
        <v>434.027</v>
      </c>
      <c r="P94" s="2">
        <f t="shared" si="7"/>
        <v>35324.534999999996</v>
      </c>
    </row>
    <row r="95" spans="1:16" s="1" customFormat="1" ht="15.75">
      <c r="A95" s="38">
        <v>41030</v>
      </c>
      <c r="B95" s="5">
        <v>4124.326</v>
      </c>
      <c r="C95" s="5">
        <v>5938.896</v>
      </c>
      <c r="D95" s="5">
        <v>22.656</v>
      </c>
      <c r="E95" s="2">
        <f aca="true" t="shared" si="8" ref="E95:E158">+B95+C95+D95</f>
        <v>10085.878</v>
      </c>
      <c r="F95" s="4">
        <v>0</v>
      </c>
      <c r="G95" s="5">
        <v>14859.979404000002</v>
      </c>
      <c r="H95" s="7">
        <v>454.061543</v>
      </c>
      <c r="I95" s="5">
        <v>4896.880322999999</v>
      </c>
      <c r="J95" s="2">
        <f aca="true" t="shared" si="9" ref="J95:J158">+G95+H95+I95</f>
        <v>20210.92127</v>
      </c>
      <c r="K95" s="5">
        <v>3436.666788</v>
      </c>
      <c r="L95" s="5">
        <v>0.781</v>
      </c>
      <c r="M95" s="5">
        <v>417.067366</v>
      </c>
      <c r="N95" s="2">
        <f aca="true" t="shared" si="10" ref="N95:N158">+K95+L95+M95</f>
        <v>3854.5151539999997</v>
      </c>
      <c r="O95" s="6">
        <v>419.824576</v>
      </c>
      <c r="P95" s="2">
        <f t="shared" si="7"/>
        <v>34571.138999999996</v>
      </c>
    </row>
    <row r="96" spans="1:16" s="1" customFormat="1" ht="15.75">
      <c r="A96" s="38">
        <v>41061</v>
      </c>
      <c r="B96" s="5">
        <v>1620.759</v>
      </c>
      <c r="C96" s="5">
        <v>5158.177</v>
      </c>
      <c r="D96" s="5">
        <v>15.3</v>
      </c>
      <c r="E96" s="2">
        <f t="shared" si="8"/>
        <v>6794.236</v>
      </c>
      <c r="F96" s="4">
        <v>0</v>
      </c>
      <c r="G96" s="5">
        <v>17156.417</v>
      </c>
      <c r="H96" s="7">
        <v>468.593</v>
      </c>
      <c r="I96" s="5">
        <v>4299.0748</v>
      </c>
      <c r="J96" s="2">
        <f t="shared" si="9"/>
        <v>21924.084800000004</v>
      </c>
      <c r="K96" s="5">
        <v>3764.23</v>
      </c>
      <c r="L96" s="5">
        <v>0.6618</v>
      </c>
      <c r="M96" s="5">
        <v>356.937</v>
      </c>
      <c r="N96" s="2">
        <f t="shared" si="10"/>
        <v>4121.8288</v>
      </c>
      <c r="O96" s="6">
        <v>368.202</v>
      </c>
      <c r="P96" s="2">
        <f t="shared" si="7"/>
        <v>33208.3516</v>
      </c>
    </row>
    <row r="97" spans="1:16" s="1" customFormat="1" ht="15.75">
      <c r="A97" s="38">
        <v>41091</v>
      </c>
      <c r="B97" s="5">
        <v>3170.364</v>
      </c>
      <c r="C97" s="5">
        <v>6246.669</v>
      </c>
      <c r="D97" s="5">
        <v>17.813</v>
      </c>
      <c r="E97" s="2">
        <f t="shared" si="8"/>
        <v>9434.846</v>
      </c>
      <c r="F97" s="4">
        <v>0</v>
      </c>
      <c r="G97" s="5">
        <v>16934.673000000003</v>
      </c>
      <c r="H97" s="7">
        <v>367.91499999999996</v>
      </c>
      <c r="I97" s="5">
        <v>7271.267</v>
      </c>
      <c r="J97" s="2">
        <f t="shared" si="9"/>
        <v>24573.855000000003</v>
      </c>
      <c r="K97" s="5">
        <v>3830.619</v>
      </c>
      <c r="L97" s="5">
        <v>0.45</v>
      </c>
      <c r="M97" s="5">
        <v>412.962</v>
      </c>
      <c r="N97" s="2">
        <f t="shared" si="10"/>
        <v>4244.031</v>
      </c>
      <c r="O97" s="6">
        <v>463.535</v>
      </c>
      <c r="P97" s="2">
        <f t="shared" si="7"/>
        <v>38716.267</v>
      </c>
    </row>
    <row r="98" spans="1:16" s="1" customFormat="1" ht="15.75">
      <c r="A98" s="38">
        <v>41122</v>
      </c>
      <c r="B98" s="5">
        <v>2395.367</v>
      </c>
      <c r="C98" s="5">
        <v>4541.492</v>
      </c>
      <c r="D98" s="5">
        <v>9.697</v>
      </c>
      <c r="E98" s="2">
        <f t="shared" si="8"/>
        <v>6946.5560000000005</v>
      </c>
      <c r="F98" s="4">
        <v>0</v>
      </c>
      <c r="G98" s="5">
        <v>18509.341</v>
      </c>
      <c r="H98" s="7">
        <v>432.994</v>
      </c>
      <c r="I98" s="5">
        <v>8209.789</v>
      </c>
      <c r="J98" s="2">
        <f t="shared" si="9"/>
        <v>27152.124</v>
      </c>
      <c r="K98" s="5">
        <v>3792.433</v>
      </c>
      <c r="L98" s="5">
        <v>0.968</v>
      </c>
      <c r="M98" s="5">
        <v>496.356</v>
      </c>
      <c r="N98" s="2">
        <f t="shared" si="10"/>
        <v>4289.757</v>
      </c>
      <c r="O98" s="6">
        <v>837.627</v>
      </c>
      <c r="P98" s="2">
        <f t="shared" si="7"/>
        <v>39226.064</v>
      </c>
    </row>
    <row r="99" spans="1:16" s="1" customFormat="1" ht="15.75">
      <c r="A99" s="38">
        <v>41153</v>
      </c>
      <c r="B99" s="5">
        <v>2494.186</v>
      </c>
      <c r="C99" s="5">
        <v>5401.379</v>
      </c>
      <c r="D99" s="5">
        <v>7.277</v>
      </c>
      <c r="E99" s="2">
        <f t="shared" si="8"/>
        <v>7902.842000000001</v>
      </c>
      <c r="F99" s="4">
        <v>0</v>
      </c>
      <c r="G99" s="5">
        <v>18917.673</v>
      </c>
      <c r="H99" s="7">
        <v>618.594</v>
      </c>
      <c r="I99" s="5">
        <v>7496.017</v>
      </c>
      <c r="J99" s="2">
        <f t="shared" si="9"/>
        <v>27032.284</v>
      </c>
      <c r="K99" s="5">
        <v>3300.768</v>
      </c>
      <c r="L99" s="35">
        <v>0</v>
      </c>
      <c r="M99" s="5">
        <v>456.742</v>
      </c>
      <c r="N99" s="2">
        <f t="shared" si="10"/>
        <v>3757.51</v>
      </c>
      <c r="O99" s="6">
        <v>1307.752</v>
      </c>
      <c r="P99" s="2">
        <f t="shared" si="7"/>
        <v>40000.388000000006</v>
      </c>
    </row>
    <row r="100" spans="1:16" s="1" customFormat="1" ht="15.75">
      <c r="A100" s="38">
        <v>41183</v>
      </c>
      <c r="B100" s="5">
        <v>18301.000653</v>
      </c>
      <c r="C100" s="5">
        <v>7988.736</v>
      </c>
      <c r="D100" s="5">
        <v>4.1803</v>
      </c>
      <c r="E100" s="2">
        <f t="shared" si="8"/>
        <v>26293.916953</v>
      </c>
      <c r="F100" s="4">
        <v>0</v>
      </c>
      <c r="G100" s="5">
        <v>17192.867642</v>
      </c>
      <c r="H100" s="7">
        <v>299.53900000000004</v>
      </c>
      <c r="I100" s="5">
        <v>6968.441000000001</v>
      </c>
      <c r="J100" s="2">
        <f t="shared" si="9"/>
        <v>24460.847642</v>
      </c>
      <c r="K100" s="5">
        <v>4000.301</v>
      </c>
      <c r="L100" s="5">
        <v>0.984</v>
      </c>
      <c r="M100" s="5">
        <v>490.425</v>
      </c>
      <c r="N100" s="2">
        <f t="shared" si="10"/>
        <v>4491.71</v>
      </c>
      <c r="O100" s="6">
        <v>1460.3880000000001</v>
      </c>
      <c r="P100" s="2">
        <f t="shared" si="7"/>
        <v>56706.862595</v>
      </c>
    </row>
    <row r="101" spans="1:16" s="1" customFormat="1" ht="15.75">
      <c r="A101" s="38">
        <v>41214</v>
      </c>
      <c r="B101" s="5">
        <v>2460.578</v>
      </c>
      <c r="C101" s="5">
        <v>6666.865</v>
      </c>
      <c r="D101" s="5">
        <v>83.168</v>
      </c>
      <c r="E101" s="2">
        <f t="shared" si="8"/>
        <v>9210.610999999999</v>
      </c>
      <c r="F101" s="4">
        <v>0</v>
      </c>
      <c r="G101" s="5">
        <v>16482.169</v>
      </c>
      <c r="H101" s="7">
        <v>501.58799999999997</v>
      </c>
      <c r="I101" s="5">
        <v>6391.401000000001</v>
      </c>
      <c r="J101" s="2">
        <f t="shared" si="9"/>
        <v>23375.158000000003</v>
      </c>
      <c r="K101" s="5">
        <v>3339.402</v>
      </c>
      <c r="L101" s="5">
        <v>1.42</v>
      </c>
      <c r="M101" s="5">
        <v>1009.731</v>
      </c>
      <c r="N101" s="2">
        <f t="shared" si="10"/>
        <v>4350.553</v>
      </c>
      <c r="O101" s="6">
        <v>1274.1760000000002</v>
      </c>
      <c r="P101" s="2">
        <f t="shared" si="7"/>
        <v>38210.498</v>
      </c>
    </row>
    <row r="102" spans="1:16" s="1" customFormat="1" ht="15.75">
      <c r="A102" s="38">
        <v>41244</v>
      </c>
      <c r="B102" s="5">
        <v>3195.031306</v>
      </c>
      <c r="C102" s="5">
        <v>6358.173463</v>
      </c>
      <c r="D102" s="5">
        <v>247.69077</v>
      </c>
      <c r="E102" s="2">
        <f t="shared" si="8"/>
        <v>9800.895539</v>
      </c>
      <c r="F102" s="4">
        <v>0</v>
      </c>
      <c r="G102" s="5">
        <v>16853.860099999998</v>
      </c>
      <c r="H102" s="7">
        <v>414.054071</v>
      </c>
      <c r="I102" s="5">
        <v>6139.563983000001</v>
      </c>
      <c r="J102" s="2">
        <f t="shared" si="9"/>
        <v>23407.478153999997</v>
      </c>
      <c r="K102" s="5">
        <v>3567.787277</v>
      </c>
      <c r="L102" s="5">
        <v>115.996848</v>
      </c>
      <c r="M102" s="5">
        <v>557.089826</v>
      </c>
      <c r="N102" s="2">
        <f t="shared" si="10"/>
        <v>4240.8739510000005</v>
      </c>
      <c r="O102" s="6">
        <v>991.086338</v>
      </c>
      <c r="P102" s="2">
        <f t="shared" si="7"/>
        <v>38440.333982</v>
      </c>
    </row>
    <row r="103" spans="1:16" s="1" customFormat="1" ht="15.75">
      <c r="A103" s="38">
        <v>41275</v>
      </c>
      <c r="B103" s="5">
        <v>16085.203</v>
      </c>
      <c r="C103" s="5">
        <v>7020.85</v>
      </c>
      <c r="D103" s="5">
        <v>22.244939</v>
      </c>
      <c r="E103" s="2">
        <f t="shared" si="8"/>
        <v>23128.297939</v>
      </c>
      <c r="F103" s="4">
        <v>0</v>
      </c>
      <c r="G103" s="5">
        <v>17710</v>
      </c>
      <c r="H103" s="7">
        <v>374.424404</v>
      </c>
      <c r="I103" s="5">
        <f>6669.5+1214.8</f>
        <v>7884.3</v>
      </c>
      <c r="J103" s="2">
        <f t="shared" si="9"/>
        <v>25968.724404</v>
      </c>
      <c r="K103" s="5">
        <v>3147.259</v>
      </c>
      <c r="L103" s="5">
        <v>39.655</v>
      </c>
      <c r="M103" s="5">
        <v>558.348</v>
      </c>
      <c r="N103" s="2">
        <f t="shared" si="10"/>
        <v>3745.262</v>
      </c>
      <c r="O103" s="6">
        <v>1494.049</v>
      </c>
      <c r="P103" s="2">
        <f t="shared" si="7"/>
        <v>54336.333343000006</v>
      </c>
    </row>
    <row r="104" spans="1:16" s="1" customFormat="1" ht="15.75">
      <c r="A104" s="38">
        <v>41306</v>
      </c>
      <c r="B104" s="5">
        <v>1049.426036</v>
      </c>
      <c r="C104" s="5">
        <v>3954.757912</v>
      </c>
      <c r="D104" s="5">
        <v>16.369203</v>
      </c>
      <c r="E104" s="2">
        <f t="shared" si="8"/>
        <v>5020.553151</v>
      </c>
      <c r="F104" s="4">
        <v>0</v>
      </c>
      <c r="G104" s="5">
        <v>15992.207882</v>
      </c>
      <c r="H104" s="7">
        <v>284.005994</v>
      </c>
      <c r="I104" s="5">
        <v>6441.751563</v>
      </c>
      <c r="J104" s="2">
        <f t="shared" si="9"/>
        <v>22717.965439</v>
      </c>
      <c r="K104" s="5">
        <v>2836.088296</v>
      </c>
      <c r="L104" s="5">
        <v>32.663606</v>
      </c>
      <c r="M104" s="5">
        <v>492.961918</v>
      </c>
      <c r="N104" s="2">
        <f t="shared" si="10"/>
        <v>3361.71382</v>
      </c>
      <c r="O104" s="6">
        <v>1310.799949</v>
      </c>
      <c r="P104" s="2">
        <f t="shared" si="7"/>
        <v>32411.032359</v>
      </c>
    </row>
    <row r="105" spans="1:16" s="1" customFormat="1" ht="15.75">
      <c r="A105" s="38">
        <v>41334</v>
      </c>
      <c r="B105" s="5">
        <v>17425.402533</v>
      </c>
      <c r="C105" s="5">
        <v>4183.841449</v>
      </c>
      <c r="D105" s="5">
        <v>146.029229</v>
      </c>
      <c r="E105" s="2">
        <f t="shared" si="8"/>
        <v>21755.273211</v>
      </c>
      <c r="F105" s="4">
        <v>0</v>
      </c>
      <c r="G105" s="5">
        <v>13272.880669</v>
      </c>
      <c r="H105" s="7">
        <v>405.16825900000003</v>
      </c>
      <c r="I105" s="5">
        <v>6493.145722</v>
      </c>
      <c r="J105" s="2">
        <f t="shared" si="9"/>
        <v>20171.19465</v>
      </c>
      <c r="K105" s="5">
        <v>3076.760435</v>
      </c>
      <c r="L105" s="5">
        <v>48.437679</v>
      </c>
      <c r="M105" s="5">
        <v>437.027341</v>
      </c>
      <c r="N105" s="2">
        <f t="shared" si="10"/>
        <v>3562.2254550000002</v>
      </c>
      <c r="O105" s="6">
        <v>1605.6577410000002</v>
      </c>
      <c r="P105" s="2">
        <f t="shared" si="7"/>
        <v>47094.351057</v>
      </c>
    </row>
    <row r="106" spans="1:16" s="1" customFormat="1" ht="15.75">
      <c r="A106" s="38">
        <v>41365</v>
      </c>
      <c r="B106" s="5">
        <v>2820.699</v>
      </c>
      <c r="C106" s="5">
        <v>3875.283</v>
      </c>
      <c r="D106" s="5">
        <v>32.074</v>
      </c>
      <c r="E106" s="2">
        <f t="shared" si="8"/>
        <v>6728.056</v>
      </c>
      <c r="F106" s="4">
        <v>0</v>
      </c>
      <c r="G106" s="5">
        <v>16316.791000000001</v>
      </c>
      <c r="H106" s="7">
        <v>224.583</v>
      </c>
      <c r="I106" s="5">
        <v>7173.857</v>
      </c>
      <c r="J106" s="2">
        <f t="shared" si="9"/>
        <v>23715.231</v>
      </c>
      <c r="K106" s="5">
        <v>3277.417</v>
      </c>
      <c r="L106" s="5">
        <v>53.16</v>
      </c>
      <c r="M106" s="5">
        <v>469.605</v>
      </c>
      <c r="N106" s="2">
        <f t="shared" si="10"/>
        <v>3800.182</v>
      </c>
      <c r="O106" s="6">
        <v>1197.805</v>
      </c>
      <c r="P106" s="2">
        <f t="shared" si="7"/>
        <v>35441.274</v>
      </c>
    </row>
    <row r="107" spans="1:16" s="1" customFormat="1" ht="15.75">
      <c r="A107" s="38">
        <v>41395</v>
      </c>
      <c r="B107" s="5">
        <v>2009.65192</v>
      </c>
      <c r="C107" s="5">
        <v>3880.246252</v>
      </c>
      <c r="D107" s="5">
        <v>62.726008</v>
      </c>
      <c r="E107" s="2">
        <f t="shared" si="8"/>
        <v>5952.62418</v>
      </c>
      <c r="F107" s="4">
        <v>0</v>
      </c>
      <c r="G107" s="5">
        <v>15373.619544000001</v>
      </c>
      <c r="H107" s="7">
        <v>547.103458</v>
      </c>
      <c r="I107" s="5">
        <v>6460.78151</v>
      </c>
      <c r="J107" s="2">
        <f t="shared" si="9"/>
        <v>22381.504512</v>
      </c>
      <c r="K107" s="5">
        <v>3564.800624</v>
      </c>
      <c r="L107" s="5">
        <v>48.557652</v>
      </c>
      <c r="M107" s="5">
        <v>464.190589</v>
      </c>
      <c r="N107" s="2">
        <f t="shared" si="10"/>
        <v>4077.5488649999998</v>
      </c>
      <c r="O107" s="6">
        <v>1647.136213</v>
      </c>
      <c r="P107" s="2">
        <f t="shared" si="7"/>
        <v>34058.81377</v>
      </c>
    </row>
    <row r="108" spans="1:16" s="1" customFormat="1" ht="15.75">
      <c r="A108" s="38">
        <v>41426</v>
      </c>
      <c r="B108" s="5">
        <v>16389.382168</v>
      </c>
      <c r="C108" s="5">
        <v>3474.5929</v>
      </c>
      <c r="D108" s="5">
        <v>28.531983</v>
      </c>
      <c r="E108" s="2">
        <f t="shared" si="8"/>
        <v>19892.507051</v>
      </c>
      <c r="F108" s="4">
        <v>0</v>
      </c>
      <c r="G108" s="5">
        <v>18706.642595999998</v>
      </c>
      <c r="H108" s="7">
        <v>328.6</v>
      </c>
      <c r="I108" s="5">
        <v>7494.042694</v>
      </c>
      <c r="J108" s="2">
        <f t="shared" si="9"/>
        <v>26529.285289999996</v>
      </c>
      <c r="K108" s="5">
        <v>3812.970992</v>
      </c>
      <c r="L108" s="5">
        <v>41.268485</v>
      </c>
      <c r="M108" s="5">
        <v>478.137835</v>
      </c>
      <c r="N108" s="2">
        <f t="shared" si="10"/>
        <v>4332.3773120000005</v>
      </c>
      <c r="O108" s="6">
        <f>1081.422002+33.9</f>
        <v>1115.322002</v>
      </c>
      <c r="P108" s="2">
        <f t="shared" si="7"/>
        <v>51869.491655</v>
      </c>
    </row>
    <row r="109" spans="1:16" s="1" customFormat="1" ht="15.75">
      <c r="A109" s="38">
        <v>41456</v>
      </c>
      <c r="B109" s="5">
        <v>1980.868</v>
      </c>
      <c r="C109" s="5">
        <v>3481.823</v>
      </c>
      <c r="D109" s="5">
        <v>18.623115</v>
      </c>
      <c r="E109" s="2">
        <f t="shared" si="8"/>
        <v>5481.314115</v>
      </c>
      <c r="F109" s="4">
        <v>0</v>
      </c>
      <c r="G109" s="5">
        <v>18794.5</v>
      </c>
      <c r="H109" s="7">
        <v>493.9</v>
      </c>
      <c r="I109" s="5">
        <v>8461.568601</v>
      </c>
      <c r="J109" s="2">
        <f t="shared" si="9"/>
        <v>27749.968601</v>
      </c>
      <c r="K109" s="5">
        <v>3970.254792</v>
      </c>
      <c r="L109" s="5">
        <v>237.7</v>
      </c>
      <c r="M109" s="5">
        <f>522.335419+1605.3</f>
        <v>2127.635419</v>
      </c>
      <c r="N109" s="2">
        <f t="shared" si="10"/>
        <v>6335.590211000001</v>
      </c>
      <c r="O109" s="6">
        <f>1189.759416+598.25</f>
        <v>1788.009416</v>
      </c>
      <c r="P109" s="2">
        <f t="shared" si="7"/>
        <v>41354.882343000005</v>
      </c>
    </row>
    <row r="110" spans="1:16" s="1" customFormat="1" ht="15.75">
      <c r="A110" s="38">
        <v>41487</v>
      </c>
      <c r="B110" s="5">
        <v>2688.2</v>
      </c>
      <c r="C110" s="5">
        <v>3549.1</v>
      </c>
      <c r="D110" s="5">
        <v>32.1</v>
      </c>
      <c r="E110" s="2">
        <f t="shared" si="8"/>
        <v>6269.4</v>
      </c>
      <c r="F110" s="4">
        <v>0</v>
      </c>
      <c r="G110" s="5">
        <v>22971.6</v>
      </c>
      <c r="H110" s="7">
        <v>1889.7</v>
      </c>
      <c r="I110" s="5">
        <f>5230+801</f>
        <v>6031</v>
      </c>
      <c r="J110" s="2">
        <f t="shared" si="9"/>
        <v>30892.3</v>
      </c>
      <c r="K110" s="5">
        <v>3603</v>
      </c>
      <c r="L110" s="5">
        <v>78.8</v>
      </c>
      <c r="M110" s="5">
        <v>625.7</v>
      </c>
      <c r="N110" s="2">
        <f t="shared" si="10"/>
        <v>4307.5</v>
      </c>
      <c r="O110" s="6">
        <f>513.2+1860.95</f>
        <v>2374.15</v>
      </c>
      <c r="P110" s="2">
        <f t="shared" si="7"/>
        <v>43843.35</v>
      </c>
    </row>
    <row r="111" spans="1:16" s="1" customFormat="1" ht="15.75">
      <c r="A111" s="38">
        <v>41518</v>
      </c>
      <c r="B111" s="5">
        <v>15356.62608</v>
      </c>
      <c r="C111" s="5">
        <v>3624.602725</v>
      </c>
      <c r="D111" s="5">
        <v>30.369118</v>
      </c>
      <c r="E111" s="2">
        <f t="shared" si="8"/>
        <v>19011.597922999998</v>
      </c>
      <c r="F111" s="4">
        <v>0</v>
      </c>
      <c r="G111" s="5">
        <v>18936.245874</v>
      </c>
      <c r="H111" s="7">
        <v>671.762158</v>
      </c>
      <c r="I111" s="5">
        <v>9889.819072</v>
      </c>
      <c r="J111" s="2">
        <f t="shared" si="9"/>
        <v>29497.827104000004</v>
      </c>
      <c r="K111" s="5">
        <v>4107.054994</v>
      </c>
      <c r="L111" s="5">
        <v>50.550034</v>
      </c>
      <c r="M111" s="5">
        <v>448.181294</v>
      </c>
      <c r="N111" s="2">
        <f t="shared" si="10"/>
        <v>4605.786322</v>
      </c>
      <c r="O111" s="6">
        <v>1946.1115310000002</v>
      </c>
      <c r="P111" s="2">
        <f t="shared" si="7"/>
        <v>55061.32288000001</v>
      </c>
    </row>
    <row r="112" spans="1:16" s="1" customFormat="1" ht="15.75">
      <c r="A112" s="38">
        <v>41548</v>
      </c>
      <c r="B112" s="5">
        <v>1829</v>
      </c>
      <c r="C112" s="5">
        <v>3801.7</v>
      </c>
      <c r="D112" s="5">
        <v>29.9</v>
      </c>
      <c r="E112" s="2">
        <f t="shared" si="8"/>
        <v>5660.599999999999</v>
      </c>
      <c r="F112" s="4">
        <v>0</v>
      </c>
      <c r="G112" s="5">
        <v>18896.7</v>
      </c>
      <c r="H112" s="7">
        <v>201</v>
      </c>
      <c r="I112" s="5">
        <f>5835.7+1242.4</f>
        <v>7078.1</v>
      </c>
      <c r="J112" s="2">
        <f t="shared" si="9"/>
        <v>26175.800000000003</v>
      </c>
      <c r="K112" s="5">
        <v>3262.7</v>
      </c>
      <c r="L112" s="5">
        <v>53.7</v>
      </c>
      <c r="M112" s="5">
        <v>473.1</v>
      </c>
      <c r="N112" s="2">
        <f t="shared" si="10"/>
        <v>3789.4999999999995</v>
      </c>
      <c r="O112" s="6">
        <f>568.3+2279</f>
        <v>2847.3</v>
      </c>
      <c r="P112" s="2">
        <f t="shared" si="7"/>
        <v>38473.200000000004</v>
      </c>
    </row>
    <row r="113" spans="1:16" s="1" customFormat="1" ht="15.75">
      <c r="A113" s="38">
        <v>41579</v>
      </c>
      <c r="B113" s="5">
        <v>2093.5</v>
      </c>
      <c r="C113" s="5">
        <v>5531.7</v>
      </c>
      <c r="D113" s="5">
        <v>18.8</v>
      </c>
      <c r="E113" s="2">
        <f t="shared" si="8"/>
        <v>7644</v>
      </c>
      <c r="F113" s="4">
        <v>0</v>
      </c>
      <c r="G113" s="5">
        <v>16432.1</v>
      </c>
      <c r="H113" s="7">
        <v>417.7</v>
      </c>
      <c r="I113" s="5">
        <f>6527.6+1247.6</f>
        <v>7775.200000000001</v>
      </c>
      <c r="J113" s="2">
        <f t="shared" si="9"/>
        <v>24625</v>
      </c>
      <c r="K113" s="5">
        <v>3955.2</v>
      </c>
      <c r="L113" s="5">
        <v>57.64</v>
      </c>
      <c r="M113" s="5">
        <v>593.54</v>
      </c>
      <c r="N113" s="2">
        <f t="shared" si="10"/>
        <v>4606.379999999999</v>
      </c>
      <c r="O113" s="6">
        <f>1420.8+730.25</f>
        <v>2151.05</v>
      </c>
      <c r="P113" s="2">
        <f t="shared" si="7"/>
        <v>39026.43</v>
      </c>
    </row>
    <row r="114" spans="1:16" s="1" customFormat="1" ht="15.75">
      <c r="A114" s="38">
        <v>41609</v>
      </c>
      <c r="B114" s="5">
        <v>12718.2</v>
      </c>
      <c r="C114" s="5">
        <v>6730</v>
      </c>
      <c r="D114" s="5">
        <v>22.45179</v>
      </c>
      <c r="E114" s="2">
        <f t="shared" si="8"/>
        <v>19470.65179</v>
      </c>
      <c r="F114" s="4">
        <v>0</v>
      </c>
      <c r="G114" s="5">
        <v>17598.834173</v>
      </c>
      <c r="H114" s="7">
        <f>426.6+805.4</f>
        <v>1232</v>
      </c>
      <c r="I114" s="5">
        <v>6376.051890000001</v>
      </c>
      <c r="J114" s="2">
        <f t="shared" si="9"/>
        <v>25206.886062999998</v>
      </c>
      <c r="K114" s="5">
        <v>3825.85</v>
      </c>
      <c r="L114" s="5">
        <v>32.82997</v>
      </c>
      <c r="M114" s="5">
        <v>551.431007</v>
      </c>
      <c r="N114" s="2">
        <f t="shared" si="10"/>
        <v>4410.110977</v>
      </c>
      <c r="O114" s="6">
        <f>1854.857627+626.5</f>
        <v>2481.3576270000003</v>
      </c>
      <c r="P114" s="2">
        <f t="shared" si="7"/>
        <v>51569.006456999996</v>
      </c>
    </row>
    <row r="115" spans="1:16" s="1" customFormat="1" ht="15.75">
      <c r="A115" s="38">
        <v>41640</v>
      </c>
      <c r="B115" s="5">
        <v>3799.919755</v>
      </c>
      <c r="C115" s="5">
        <v>5618.588231</v>
      </c>
      <c r="D115" s="5">
        <v>159.8201</v>
      </c>
      <c r="E115" s="2">
        <f t="shared" si="8"/>
        <v>9578.328086000001</v>
      </c>
      <c r="F115" s="4">
        <v>0</v>
      </c>
      <c r="G115" s="5">
        <f>8296.593284+11223.155882</f>
        <v>19519.749166</v>
      </c>
      <c r="H115" s="7">
        <v>1258.331793</v>
      </c>
      <c r="I115" s="5">
        <v>8749.828226</v>
      </c>
      <c r="J115" s="2">
        <f t="shared" si="9"/>
        <v>29527.909185000004</v>
      </c>
      <c r="K115" s="5">
        <v>3854.68038</v>
      </c>
      <c r="L115" s="5">
        <v>24.239223</v>
      </c>
      <c r="M115" s="5">
        <v>587.031717</v>
      </c>
      <c r="N115" s="2">
        <f t="shared" si="10"/>
        <v>4465.95132</v>
      </c>
      <c r="O115" s="6">
        <v>2412.052331</v>
      </c>
      <c r="P115" s="2">
        <f t="shared" si="7"/>
        <v>45984.240922000005</v>
      </c>
    </row>
    <row r="116" spans="1:16" s="1" customFormat="1" ht="15.75">
      <c r="A116" s="38">
        <v>41671</v>
      </c>
      <c r="B116" s="5">
        <v>1191.403397</v>
      </c>
      <c r="C116" s="5">
        <v>4483.9</v>
      </c>
      <c r="D116" s="5">
        <v>59.3</v>
      </c>
      <c r="E116" s="2">
        <f t="shared" si="8"/>
        <v>5734.603397</v>
      </c>
      <c r="F116" s="4">
        <v>0</v>
      </c>
      <c r="G116" s="5">
        <v>17173.8</v>
      </c>
      <c r="H116" s="7">
        <f>406+707.5</f>
        <v>1113.5</v>
      </c>
      <c r="I116" s="5">
        <f>5678+994.6</f>
        <v>6672.6</v>
      </c>
      <c r="J116" s="2">
        <f t="shared" si="9"/>
        <v>24959.9</v>
      </c>
      <c r="K116" s="5">
        <v>3302.3</v>
      </c>
      <c r="L116" s="5">
        <v>2.1</v>
      </c>
      <c r="M116" s="5">
        <v>461.3</v>
      </c>
      <c r="N116" s="2">
        <f t="shared" si="10"/>
        <v>3765.7000000000003</v>
      </c>
      <c r="O116" s="6">
        <f>1785.8+338.1</f>
        <v>2123.9</v>
      </c>
      <c r="P116" s="2">
        <f t="shared" si="7"/>
        <v>36584.103397</v>
      </c>
    </row>
    <row r="117" spans="1:16" s="1" customFormat="1" ht="15.75">
      <c r="A117" s="38">
        <v>41699</v>
      </c>
      <c r="B117" s="5">
        <v>3842.4</v>
      </c>
      <c r="C117" s="5">
        <v>7840.8</v>
      </c>
      <c r="D117" s="5">
        <v>79.6</v>
      </c>
      <c r="E117" s="2">
        <f t="shared" si="8"/>
        <v>11762.800000000001</v>
      </c>
      <c r="F117" s="4">
        <v>0</v>
      </c>
      <c r="G117" s="5">
        <v>17057.9</v>
      </c>
      <c r="H117" s="7">
        <f>505.5+657</f>
        <v>1162.5</v>
      </c>
      <c r="I117" s="5">
        <f>5485.1+826.8</f>
        <v>6311.900000000001</v>
      </c>
      <c r="J117" s="2">
        <f t="shared" si="9"/>
        <v>24532.300000000003</v>
      </c>
      <c r="K117" s="5">
        <v>3421.6</v>
      </c>
      <c r="L117" s="5">
        <v>25.9</v>
      </c>
      <c r="M117" s="5">
        <v>644.8</v>
      </c>
      <c r="N117" s="2">
        <f t="shared" si="10"/>
        <v>4092.3</v>
      </c>
      <c r="O117" s="6">
        <f>1822.65+1114.65</f>
        <v>2937.3</v>
      </c>
      <c r="P117" s="2">
        <f t="shared" si="7"/>
        <v>43324.700000000004</v>
      </c>
    </row>
    <row r="118" spans="1:16" s="1" customFormat="1" ht="15.75">
      <c r="A118" s="38">
        <v>41730</v>
      </c>
      <c r="B118" s="5">
        <v>4860.6</v>
      </c>
      <c r="C118" s="5">
        <v>4828.6</v>
      </c>
      <c r="D118" s="5">
        <v>30.8</v>
      </c>
      <c r="E118" s="2">
        <f t="shared" si="8"/>
        <v>9720</v>
      </c>
      <c r="F118" s="4">
        <v>0</v>
      </c>
      <c r="G118" s="5">
        <v>19112.1</v>
      </c>
      <c r="H118" s="7">
        <f>634.4+715.9</f>
        <v>1350.3</v>
      </c>
      <c r="I118" s="5">
        <f>5773.4+961</f>
        <v>6734.4</v>
      </c>
      <c r="J118" s="2">
        <f t="shared" si="9"/>
        <v>27196.799999999996</v>
      </c>
      <c r="K118" s="5">
        <v>3956.5</v>
      </c>
      <c r="L118" s="5">
        <v>31.9</v>
      </c>
      <c r="M118" s="5">
        <v>396.2</v>
      </c>
      <c r="N118" s="2">
        <f t="shared" si="10"/>
        <v>4384.6</v>
      </c>
      <c r="O118" s="6">
        <f>43382.3-41301.4</f>
        <v>2080.9000000000015</v>
      </c>
      <c r="P118" s="2">
        <f t="shared" si="7"/>
        <v>43382.299999999996</v>
      </c>
    </row>
    <row r="119" spans="1:16" s="1" customFormat="1" ht="15.75">
      <c r="A119" s="38">
        <v>41760</v>
      </c>
      <c r="B119" s="5">
        <v>2206.283861</v>
      </c>
      <c r="C119" s="5">
        <v>3457.177</v>
      </c>
      <c r="D119" s="5">
        <v>27.53</v>
      </c>
      <c r="E119" s="2">
        <f t="shared" si="8"/>
        <v>5690.990860999999</v>
      </c>
      <c r="F119" s="4">
        <v>0</v>
      </c>
      <c r="G119" s="5">
        <v>20160.8</v>
      </c>
      <c r="H119" s="7">
        <f>376.7+679.5</f>
        <v>1056.2</v>
      </c>
      <c r="I119" s="5">
        <f>990.8+6439.1</f>
        <v>7429.900000000001</v>
      </c>
      <c r="J119" s="2">
        <f t="shared" si="9"/>
        <v>28646.9</v>
      </c>
      <c r="K119" s="5">
        <v>1464</v>
      </c>
      <c r="L119" s="5">
        <v>8.3</v>
      </c>
      <c r="M119" s="5">
        <v>488.7</v>
      </c>
      <c r="N119" s="2">
        <f t="shared" si="10"/>
        <v>1961</v>
      </c>
      <c r="O119" s="6">
        <f>1370.8+306.4</f>
        <v>1677.1999999999998</v>
      </c>
      <c r="P119" s="2">
        <f t="shared" si="7"/>
        <v>37976.090861000004</v>
      </c>
    </row>
    <row r="120" spans="1:16" s="1" customFormat="1" ht="15.75">
      <c r="A120" s="38">
        <v>41791</v>
      </c>
      <c r="B120" s="5">
        <v>11881.3</v>
      </c>
      <c r="C120" s="5">
        <v>4693.7</v>
      </c>
      <c r="D120" s="5">
        <v>41.2</v>
      </c>
      <c r="E120" s="2">
        <f t="shared" si="8"/>
        <v>16616.2</v>
      </c>
      <c r="F120" s="4">
        <v>0</v>
      </c>
      <c r="G120" s="5">
        <v>18504.4</v>
      </c>
      <c r="H120" s="7">
        <f>740.9+498.6</f>
        <v>1239.5</v>
      </c>
      <c r="I120" s="5">
        <f>6614.7+880.2</f>
        <v>7494.9</v>
      </c>
      <c r="J120" s="2">
        <f t="shared" si="9"/>
        <v>27238.800000000003</v>
      </c>
      <c r="K120" s="5">
        <v>4062.2</v>
      </c>
      <c r="L120" s="5">
        <v>16.1</v>
      </c>
      <c r="M120" s="5">
        <v>580.7</v>
      </c>
      <c r="N120" s="2">
        <f t="shared" si="10"/>
        <v>4659</v>
      </c>
      <c r="O120" s="6">
        <f>1238.1+2029.12</f>
        <v>3267.22</v>
      </c>
      <c r="P120" s="2">
        <f t="shared" si="7"/>
        <v>51781.22</v>
      </c>
    </row>
    <row r="121" spans="1:16" s="1" customFormat="1" ht="15.75">
      <c r="A121" s="38">
        <v>41821</v>
      </c>
      <c r="B121" s="5">
        <v>2703.8</v>
      </c>
      <c r="C121" s="5">
        <v>3789.54</v>
      </c>
      <c r="D121" s="5">
        <v>33.24</v>
      </c>
      <c r="E121" s="2">
        <f t="shared" si="8"/>
        <v>6526.58</v>
      </c>
      <c r="F121" s="4">
        <v>0</v>
      </c>
      <c r="G121" s="5">
        <v>20177.3</v>
      </c>
      <c r="H121" s="7">
        <f>397+804.6</f>
        <v>1201.6</v>
      </c>
      <c r="I121" s="5">
        <f>8305.6+1016.5</f>
        <v>9322.1</v>
      </c>
      <c r="J121" s="2">
        <f t="shared" si="9"/>
        <v>30701</v>
      </c>
      <c r="K121" s="5">
        <v>3924.5</v>
      </c>
      <c r="L121" s="36">
        <v>0</v>
      </c>
      <c r="M121" s="5">
        <v>520.44</v>
      </c>
      <c r="N121" s="2">
        <f t="shared" si="10"/>
        <v>4444.9400000000005</v>
      </c>
      <c r="O121" s="6">
        <v>2145.64</v>
      </c>
      <c r="P121" s="2">
        <f t="shared" si="7"/>
        <v>43818.16</v>
      </c>
    </row>
    <row r="122" spans="1:16" s="1" customFormat="1" ht="15.75">
      <c r="A122" s="38">
        <v>41852</v>
      </c>
      <c r="B122" s="5">
        <v>3536.7</v>
      </c>
      <c r="C122" s="5">
        <v>3949.4</v>
      </c>
      <c r="D122" s="5">
        <v>35.1</v>
      </c>
      <c r="E122" s="2">
        <f t="shared" si="8"/>
        <v>7521.200000000001</v>
      </c>
      <c r="F122" s="4">
        <v>0</v>
      </c>
      <c r="G122" s="5">
        <v>23033</v>
      </c>
      <c r="H122" s="7">
        <f>346+785.9</f>
        <v>1131.9</v>
      </c>
      <c r="I122" s="5">
        <f>8181.1+992.4</f>
        <v>9173.5</v>
      </c>
      <c r="J122" s="2">
        <f t="shared" si="9"/>
        <v>33338.4</v>
      </c>
      <c r="K122" s="5">
        <v>3855.1</v>
      </c>
      <c r="L122" s="5">
        <v>140.6</v>
      </c>
      <c r="M122" s="5">
        <v>900.8</v>
      </c>
      <c r="N122" s="2">
        <f t="shared" si="10"/>
        <v>4896.5</v>
      </c>
      <c r="O122" s="6">
        <f>403.7+1331.1</f>
        <v>1734.8</v>
      </c>
      <c r="P122" s="2">
        <f t="shared" si="7"/>
        <v>47490.90000000001</v>
      </c>
    </row>
    <row r="123" spans="1:16" s="1" customFormat="1" ht="15.75">
      <c r="A123" s="38">
        <v>41883</v>
      </c>
      <c r="B123" s="5">
        <v>14978.2</v>
      </c>
      <c r="C123" s="5">
        <v>4182.65</v>
      </c>
      <c r="D123" s="5">
        <v>32.45</v>
      </c>
      <c r="E123" s="2">
        <f t="shared" si="8"/>
        <v>19193.3</v>
      </c>
      <c r="F123" s="4">
        <v>0</v>
      </c>
      <c r="G123" s="5">
        <v>22257.75</v>
      </c>
      <c r="H123" s="7">
        <f>289.9+1132.85</f>
        <v>1422.75</v>
      </c>
      <c r="I123" s="5">
        <f>7115.6+1605.5</f>
        <v>8721.1</v>
      </c>
      <c r="J123" s="2">
        <f t="shared" si="9"/>
        <v>32401.6</v>
      </c>
      <c r="K123" s="5">
        <v>4114.9</v>
      </c>
      <c r="L123" s="5">
        <v>142.25</v>
      </c>
      <c r="M123" s="5">
        <f>2254.8+729.2</f>
        <v>2984</v>
      </c>
      <c r="N123" s="2">
        <f t="shared" si="10"/>
        <v>7241.15</v>
      </c>
      <c r="O123" s="6">
        <f>752.7+1947.45</f>
        <v>2700.15</v>
      </c>
      <c r="P123" s="2">
        <f t="shared" si="7"/>
        <v>61536.2</v>
      </c>
    </row>
    <row r="124" spans="1:16" s="1" customFormat="1" ht="15.75">
      <c r="A124" s="38">
        <v>41913</v>
      </c>
      <c r="B124" s="5">
        <v>5554.48299</v>
      </c>
      <c r="C124" s="5">
        <v>4559.572828</v>
      </c>
      <c r="D124" s="5">
        <v>26.892413</v>
      </c>
      <c r="E124" s="2">
        <f t="shared" si="8"/>
        <v>10140.948231</v>
      </c>
      <c r="F124" s="4">
        <v>0</v>
      </c>
      <c r="G124" s="5">
        <v>21414.551426</v>
      </c>
      <c r="H124" s="7">
        <v>1677.765003</v>
      </c>
      <c r="I124" s="5">
        <v>7667.2385970000005</v>
      </c>
      <c r="J124" s="2">
        <f t="shared" si="9"/>
        <v>30759.555026</v>
      </c>
      <c r="K124" s="5">
        <v>4118.146698</v>
      </c>
      <c r="L124" s="5">
        <v>123.504133</v>
      </c>
      <c r="M124" s="5">
        <v>611.754018</v>
      </c>
      <c r="N124" s="2">
        <f t="shared" si="10"/>
        <v>4853.404849</v>
      </c>
      <c r="O124" s="6">
        <v>2016.91633</v>
      </c>
      <c r="P124" s="2">
        <f t="shared" si="7"/>
        <v>47770.824436</v>
      </c>
    </row>
    <row r="125" spans="1:16" s="1" customFormat="1" ht="15.75">
      <c r="A125" s="38">
        <v>41944</v>
      </c>
      <c r="B125" s="5">
        <v>3589.791752</v>
      </c>
      <c r="C125" s="5">
        <v>11686.6436</v>
      </c>
      <c r="D125" s="5">
        <v>84.06416899999999</v>
      </c>
      <c r="E125" s="2">
        <f t="shared" si="8"/>
        <v>15360.499521</v>
      </c>
      <c r="F125" s="4">
        <v>0</v>
      </c>
      <c r="G125" s="5">
        <v>21162.27882</v>
      </c>
      <c r="H125" s="7">
        <v>2159.159679</v>
      </c>
      <c r="I125" s="5">
        <v>7095.558559</v>
      </c>
      <c r="J125" s="2">
        <f t="shared" si="9"/>
        <v>30416.997058</v>
      </c>
      <c r="K125" s="5">
        <v>4141.244411</v>
      </c>
      <c r="L125" s="5">
        <v>75.727655</v>
      </c>
      <c r="M125" s="5">
        <v>596.875095</v>
      </c>
      <c r="N125" s="2">
        <f t="shared" si="10"/>
        <v>4813.847161</v>
      </c>
      <c r="O125" s="6">
        <v>3571.41716</v>
      </c>
      <c r="P125" s="2">
        <f t="shared" si="7"/>
        <v>54162.7609</v>
      </c>
    </row>
    <row r="126" spans="1:16" s="1" customFormat="1" ht="15.75">
      <c r="A126" s="38">
        <v>41974</v>
      </c>
      <c r="B126" s="5">
        <v>14954.808031</v>
      </c>
      <c r="C126" s="5">
        <v>5040.6735</v>
      </c>
      <c r="D126" s="5">
        <v>42.604453</v>
      </c>
      <c r="E126" s="2">
        <f t="shared" si="8"/>
        <v>20038.085984</v>
      </c>
      <c r="F126" s="4">
        <v>0</v>
      </c>
      <c r="G126" s="5">
        <v>20632.063667</v>
      </c>
      <c r="H126" s="7">
        <v>2872.321376</v>
      </c>
      <c r="I126" s="5">
        <v>7017.923006999999</v>
      </c>
      <c r="J126" s="2">
        <f t="shared" si="9"/>
        <v>30522.30805</v>
      </c>
      <c r="K126" s="5">
        <v>4967.132255</v>
      </c>
      <c r="L126" s="5">
        <v>80.640449</v>
      </c>
      <c r="M126" s="5">
        <v>587.491487</v>
      </c>
      <c r="N126" s="2">
        <f t="shared" si="10"/>
        <v>5635.264191000001</v>
      </c>
      <c r="O126" s="6">
        <v>2200.077015</v>
      </c>
      <c r="P126" s="2">
        <f t="shared" si="7"/>
        <v>58395.73524000001</v>
      </c>
    </row>
    <row r="127" spans="1:16" s="1" customFormat="1" ht="15.75">
      <c r="A127" s="38">
        <v>42005</v>
      </c>
      <c r="B127" s="3">
        <v>2972.183125</v>
      </c>
      <c r="C127" s="3">
        <v>6120.352269</v>
      </c>
      <c r="D127" s="3">
        <v>26.025471</v>
      </c>
      <c r="E127" s="2">
        <f t="shared" si="8"/>
        <v>9118.560865000001</v>
      </c>
      <c r="F127" s="4">
        <f>SUM(F128:F138)</f>
        <v>0</v>
      </c>
      <c r="G127" s="3">
        <v>22480.822969</v>
      </c>
      <c r="H127" s="3">
        <v>2833.2</v>
      </c>
      <c r="I127" s="3">
        <v>9063.049799999999</v>
      </c>
      <c r="J127" s="2">
        <f t="shared" si="9"/>
        <v>34377.072769</v>
      </c>
      <c r="K127" s="3">
        <v>4527.685324</v>
      </c>
      <c r="L127" s="3">
        <v>36.22432</v>
      </c>
      <c r="M127" s="3">
        <v>668.341462</v>
      </c>
      <c r="N127" s="2">
        <f t="shared" si="10"/>
        <v>5232.251106000001</v>
      </c>
      <c r="O127" s="3">
        <v>2783.4</v>
      </c>
      <c r="P127" s="2">
        <f t="shared" si="7"/>
        <v>51511.284739999996</v>
      </c>
    </row>
    <row r="128" spans="1:16" s="1" customFormat="1" ht="15.75">
      <c r="A128" s="38">
        <v>42036</v>
      </c>
      <c r="B128" s="3">
        <v>2354.952942</v>
      </c>
      <c r="C128" s="3">
        <v>4548.516256</v>
      </c>
      <c r="D128" s="3">
        <v>54.387931</v>
      </c>
      <c r="E128" s="2">
        <f t="shared" si="8"/>
        <v>6957.857129</v>
      </c>
      <c r="F128" s="4">
        <v>0</v>
      </c>
      <c r="G128" s="3">
        <v>17440.438964</v>
      </c>
      <c r="H128" s="3">
        <v>2634.2362510000003</v>
      </c>
      <c r="I128" s="3">
        <v>6776.429645</v>
      </c>
      <c r="J128" s="2">
        <f t="shared" si="9"/>
        <v>26851.104860000003</v>
      </c>
      <c r="K128" s="3">
        <v>4497.340932</v>
      </c>
      <c r="L128" s="3">
        <v>25.458</v>
      </c>
      <c r="M128" s="3">
        <v>535.308</v>
      </c>
      <c r="N128" s="2">
        <f t="shared" si="10"/>
        <v>5058.106932</v>
      </c>
      <c r="O128" s="3">
        <v>1956.7166459999999</v>
      </c>
      <c r="P128" s="2">
        <f t="shared" si="7"/>
        <v>40823.785567</v>
      </c>
    </row>
    <row r="129" spans="1:16" s="1" customFormat="1" ht="15.75">
      <c r="A129" s="38">
        <v>42064</v>
      </c>
      <c r="B129" s="3">
        <v>15571.5</v>
      </c>
      <c r="C129" s="3">
        <v>4555.280532</v>
      </c>
      <c r="D129" s="3">
        <v>46.038068</v>
      </c>
      <c r="E129" s="2">
        <f t="shared" si="8"/>
        <v>20172.818600000002</v>
      </c>
      <c r="F129" s="4">
        <v>0</v>
      </c>
      <c r="G129" s="3">
        <v>21697.128911</v>
      </c>
      <c r="H129" s="3">
        <v>2818.365046</v>
      </c>
      <c r="I129" s="3">
        <v>6452.068325</v>
      </c>
      <c r="J129" s="2">
        <f t="shared" si="9"/>
        <v>30967.562282</v>
      </c>
      <c r="K129" s="3">
        <v>4302.52994</v>
      </c>
      <c r="L129" s="3">
        <v>13.440798</v>
      </c>
      <c r="M129" s="3">
        <v>560.085296</v>
      </c>
      <c r="N129" s="2">
        <f t="shared" si="10"/>
        <v>4876.056034</v>
      </c>
      <c r="O129" s="3">
        <v>6850.089451</v>
      </c>
      <c r="P129" s="2">
        <f t="shared" si="7"/>
        <v>62866.526367</v>
      </c>
    </row>
    <row r="130" spans="1:16" s="1" customFormat="1" ht="15.75">
      <c r="A130" s="38">
        <v>42095</v>
      </c>
      <c r="B130" s="3">
        <v>4010.1</v>
      </c>
      <c r="C130" s="3">
        <v>5916.9</v>
      </c>
      <c r="D130" s="3">
        <v>44.8</v>
      </c>
      <c r="E130" s="2">
        <f t="shared" si="8"/>
        <v>9971.8</v>
      </c>
      <c r="F130" s="4">
        <v>0</v>
      </c>
      <c r="G130" s="3">
        <v>14925.1</v>
      </c>
      <c r="H130" s="3">
        <v>2055.4</v>
      </c>
      <c r="I130" s="3">
        <v>7265.5</v>
      </c>
      <c r="J130" s="2">
        <f t="shared" si="9"/>
        <v>24246</v>
      </c>
      <c r="K130" s="3">
        <v>3813.6</v>
      </c>
      <c r="L130" s="3">
        <v>41.078642</v>
      </c>
      <c r="M130" s="3">
        <v>474.5</v>
      </c>
      <c r="N130" s="2">
        <f t="shared" si="10"/>
        <v>4329.178642</v>
      </c>
      <c r="O130" s="3">
        <v>2802.0561</v>
      </c>
      <c r="P130" s="2">
        <f t="shared" si="7"/>
        <v>41349.034742</v>
      </c>
    </row>
    <row r="131" spans="1:16" s="1" customFormat="1" ht="15.75">
      <c r="A131" s="38">
        <v>42125</v>
      </c>
      <c r="B131" s="3">
        <v>2239.303962</v>
      </c>
      <c r="C131" s="3">
        <v>3717.153646</v>
      </c>
      <c r="D131" s="3">
        <v>18.107493</v>
      </c>
      <c r="E131" s="2">
        <f t="shared" si="8"/>
        <v>5974.565101000001</v>
      </c>
      <c r="F131" s="4">
        <v>0</v>
      </c>
      <c r="G131" s="3">
        <v>13084.0214</v>
      </c>
      <c r="H131" s="3">
        <v>1526.3</v>
      </c>
      <c r="I131" s="3">
        <v>5521.2</v>
      </c>
      <c r="J131" s="2">
        <f t="shared" si="9"/>
        <v>20131.521399999998</v>
      </c>
      <c r="K131" s="3">
        <v>2301.726257</v>
      </c>
      <c r="L131" s="3">
        <v>0</v>
      </c>
      <c r="M131" s="3">
        <v>328.209921</v>
      </c>
      <c r="N131" s="2">
        <f t="shared" si="10"/>
        <v>2629.936178</v>
      </c>
      <c r="O131" s="3">
        <v>2036.25</v>
      </c>
      <c r="P131" s="2">
        <f t="shared" si="7"/>
        <v>30772.272678999998</v>
      </c>
    </row>
    <row r="132" spans="1:16" s="1" customFormat="1" ht="15.75">
      <c r="A132" s="38">
        <v>42156</v>
      </c>
      <c r="B132" s="3">
        <v>11522.1247</v>
      </c>
      <c r="C132" s="3">
        <v>4236.05878</v>
      </c>
      <c r="D132" s="3">
        <v>27.6918</v>
      </c>
      <c r="E132" s="2">
        <f t="shared" si="8"/>
        <v>15785.87528</v>
      </c>
      <c r="F132" s="4">
        <v>0</v>
      </c>
      <c r="G132" s="3">
        <v>12812.316649</v>
      </c>
      <c r="H132" s="3">
        <v>1683.61876</v>
      </c>
      <c r="I132" s="3">
        <v>6899.375654</v>
      </c>
      <c r="J132" s="2">
        <f t="shared" si="9"/>
        <v>21395.311063</v>
      </c>
      <c r="K132" s="3">
        <v>2860.968</v>
      </c>
      <c r="L132" s="3">
        <v>0</v>
      </c>
      <c r="M132" s="3">
        <v>421.7</v>
      </c>
      <c r="N132" s="2">
        <f t="shared" si="10"/>
        <v>3282.6679999999997</v>
      </c>
      <c r="O132" s="3">
        <v>637.1</v>
      </c>
      <c r="P132" s="2">
        <f t="shared" si="7"/>
        <v>41100.954343000005</v>
      </c>
    </row>
    <row r="133" spans="1:16" s="1" customFormat="1" ht="15.75">
      <c r="A133" s="38">
        <v>42186</v>
      </c>
      <c r="B133" s="3">
        <v>2667.501767</v>
      </c>
      <c r="C133" s="3">
        <v>3961.651315</v>
      </c>
      <c r="D133" s="3">
        <v>27.214303</v>
      </c>
      <c r="E133" s="2">
        <f t="shared" si="8"/>
        <v>6656.3673850000005</v>
      </c>
      <c r="F133" s="4">
        <v>0</v>
      </c>
      <c r="G133" s="3">
        <v>16182.150126</v>
      </c>
      <c r="H133" s="3">
        <v>1646.367826</v>
      </c>
      <c r="I133" s="3">
        <v>7453.878989999999</v>
      </c>
      <c r="J133" s="2">
        <f t="shared" si="9"/>
        <v>25282.396942</v>
      </c>
      <c r="K133" s="3">
        <v>3465.88984</v>
      </c>
      <c r="L133" s="3">
        <v>3.868134</v>
      </c>
      <c r="M133" s="3">
        <v>433.870847</v>
      </c>
      <c r="N133" s="2">
        <f t="shared" si="10"/>
        <v>3903.628821</v>
      </c>
      <c r="O133" s="3">
        <v>4074.6461009999994</v>
      </c>
      <c r="P133" s="2">
        <f t="shared" si="7"/>
        <v>39917.039248999994</v>
      </c>
    </row>
    <row r="134" spans="1:16" s="1" customFormat="1" ht="15.75">
      <c r="A134" s="38">
        <v>42217</v>
      </c>
      <c r="B134" s="3">
        <v>2037.719271</v>
      </c>
      <c r="C134" s="3">
        <v>4342.476926</v>
      </c>
      <c r="D134" s="3">
        <v>45.52217</v>
      </c>
      <c r="E134" s="2">
        <f t="shared" si="8"/>
        <v>6425.718367</v>
      </c>
      <c r="F134" s="4">
        <v>0</v>
      </c>
      <c r="G134" s="3">
        <v>16291.486685</v>
      </c>
      <c r="H134" s="3">
        <v>5026.618159</v>
      </c>
      <c r="I134" s="3">
        <v>8464.681935999999</v>
      </c>
      <c r="J134" s="2">
        <f t="shared" si="9"/>
        <v>29782.786780000002</v>
      </c>
      <c r="K134" s="3">
        <v>2766.625839</v>
      </c>
      <c r="L134" s="3">
        <v>0</v>
      </c>
      <c r="M134" s="3">
        <v>498.187890096</v>
      </c>
      <c r="N134" s="2">
        <f t="shared" si="10"/>
        <v>3264.813729096</v>
      </c>
      <c r="O134" s="3">
        <v>1219.0141900000017</v>
      </c>
      <c r="P134" s="2">
        <f t="shared" si="7"/>
        <v>40692.333066096005</v>
      </c>
    </row>
    <row r="135" spans="1:16" s="1" customFormat="1" ht="15.75">
      <c r="A135" s="38">
        <v>42248</v>
      </c>
      <c r="B135" s="3">
        <v>11926.21</v>
      </c>
      <c r="C135" s="3">
        <v>5735.536</v>
      </c>
      <c r="D135" s="3">
        <v>42.985</v>
      </c>
      <c r="E135" s="2">
        <f t="shared" si="8"/>
        <v>17704.731</v>
      </c>
      <c r="F135" s="4">
        <v>0</v>
      </c>
      <c r="G135" s="3">
        <v>17050.259</v>
      </c>
      <c r="H135" s="3">
        <v>2852.493</v>
      </c>
      <c r="I135" s="3">
        <v>7364.6900000000005</v>
      </c>
      <c r="J135" s="2">
        <f t="shared" si="9"/>
        <v>27267.441999999995</v>
      </c>
      <c r="K135" s="3">
        <v>3707.416</v>
      </c>
      <c r="L135" s="3">
        <v>0</v>
      </c>
      <c r="M135" s="3">
        <v>537.378</v>
      </c>
      <c r="N135" s="2">
        <f t="shared" si="10"/>
        <v>4244.794</v>
      </c>
      <c r="O135" s="3">
        <v>4263.1008649999985</v>
      </c>
      <c r="P135" s="2">
        <f t="shared" si="7"/>
        <v>53480.06786499999</v>
      </c>
    </row>
    <row r="136" spans="1:16" s="1" customFormat="1" ht="15.75">
      <c r="A136" s="38">
        <v>42278</v>
      </c>
      <c r="B136" s="3">
        <v>2320.066855</v>
      </c>
      <c r="C136" s="3">
        <v>4381.374875</v>
      </c>
      <c r="D136" s="3">
        <v>31.891807</v>
      </c>
      <c r="E136" s="2">
        <f t="shared" si="8"/>
        <v>6733.333537</v>
      </c>
      <c r="F136" s="4">
        <v>0</v>
      </c>
      <c r="G136" s="3">
        <v>19056.089354</v>
      </c>
      <c r="H136" s="3">
        <v>2097.6</v>
      </c>
      <c r="I136" s="3">
        <v>6549.1</v>
      </c>
      <c r="J136" s="2">
        <f t="shared" si="9"/>
        <v>27702.789354</v>
      </c>
      <c r="K136" s="3">
        <v>4292.8</v>
      </c>
      <c r="L136" s="3">
        <v>0</v>
      </c>
      <c r="M136" s="3">
        <v>851.4</v>
      </c>
      <c r="N136" s="2">
        <f t="shared" si="10"/>
        <v>5144.2</v>
      </c>
      <c r="O136" s="3">
        <v>3920.115402</v>
      </c>
      <c r="P136" s="2">
        <f aca="true" t="shared" si="11" ref="P136:P162">O136+N136+J136+F136+E136</f>
        <v>43500.438293</v>
      </c>
    </row>
    <row r="137" spans="1:16" s="1" customFormat="1" ht="15.75">
      <c r="A137" s="38">
        <v>42309</v>
      </c>
      <c r="B137" s="3">
        <v>3706.095</v>
      </c>
      <c r="C137" s="3">
        <v>2538.872</v>
      </c>
      <c r="D137" s="3">
        <v>38.375</v>
      </c>
      <c r="E137" s="2">
        <f t="shared" si="8"/>
        <v>6283.342</v>
      </c>
      <c r="F137" s="4">
        <v>0</v>
      </c>
      <c r="G137" s="3">
        <v>18300.01547</v>
      </c>
      <c r="H137" s="3">
        <v>2155.54</v>
      </c>
      <c r="I137" s="3">
        <v>6794.294599999999</v>
      </c>
      <c r="J137" s="2">
        <f t="shared" si="9"/>
        <v>27249.85007</v>
      </c>
      <c r="K137" s="3">
        <v>5495.274</v>
      </c>
      <c r="L137" s="3">
        <v>0</v>
      </c>
      <c r="M137" s="3">
        <v>553.395538</v>
      </c>
      <c r="N137" s="2">
        <f t="shared" si="10"/>
        <v>6048.669538</v>
      </c>
      <c r="O137" s="3">
        <v>2565.9441230000007</v>
      </c>
      <c r="P137" s="2">
        <f t="shared" si="11"/>
        <v>42147.805731</v>
      </c>
    </row>
    <row r="138" spans="1:16" s="1" customFormat="1" ht="15.75">
      <c r="A138" s="38">
        <v>42339</v>
      </c>
      <c r="B138" s="3">
        <v>13803.108574</v>
      </c>
      <c r="C138" s="3">
        <v>6409.915687</v>
      </c>
      <c r="D138" s="3">
        <v>39.21614</v>
      </c>
      <c r="E138" s="2">
        <f t="shared" si="8"/>
        <v>20252.240401</v>
      </c>
      <c r="F138" s="4">
        <v>0</v>
      </c>
      <c r="G138" s="3">
        <v>18760.571209</v>
      </c>
      <c r="H138" s="3">
        <v>2343.6609089999997</v>
      </c>
      <c r="I138" s="3">
        <v>6107.879769</v>
      </c>
      <c r="J138" s="2">
        <f t="shared" si="9"/>
        <v>27212.111887</v>
      </c>
      <c r="K138" s="3">
        <v>3639.487668</v>
      </c>
      <c r="L138" s="3">
        <v>0</v>
      </c>
      <c r="M138" s="3">
        <v>1312.546128</v>
      </c>
      <c r="N138" s="2">
        <f t="shared" si="10"/>
        <v>4952.033796</v>
      </c>
      <c r="O138" s="3">
        <v>3088.237313</v>
      </c>
      <c r="P138" s="2">
        <f t="shared" si="11"/>
        <v>55504.623397</v>
      </c>
    </row>
    <row r="139" spans="1:16" s="1" customFormat="1" ht="15.75">
      <c r="A139" s="38">
        <v>42370</v>
      </c>
      <c r="B139" s="3">
        <v>2531.977162</v>
      </c>
      <c r="C139" s="3">
        <v>6033.182721</v>
      </c>
      <c r="D139" s="3">
        <v>26.955342</v>
      </c>
      <c r="E139" s="2">
        <f t="shared" si="8"/>
        <v>8592.115225</v>
      </c>
      <c r="F139" s="4">
        <v>0</v>
      </c>
      <c r="G139" s="3">
        <v>17736.839358</v>
      </c>
      <c r="H139" s="3">
        <v>2258.956503</v>
      </c>
      <c r="I139" s="3">
        <v>7270.286884</v>
      </c>
      <c r="J139" s="2">
        <f t="shared" si="9"/>
        <v>27266.082745000003</v>
      </c>
      <c r="K139" s="3">
        <v>4270.814374</v>
      </c>
      <c r="L139" s="3">
        <v>0</v>
      </c>
      <c r="M139" s="3">
        <v>692.5562681904</v>
      </c>
      <c r="N139" s="2">
        <f t="shared" si="10"/>
        <v>4963.3706421904</v>
      </c>
      <c r="O139" s="3">
        <v>3791.760175000006</v>
      </c>
      <c r="P139" s="2">
        <f t="shared" si="11"/>
        <v>44613.32878719041</v>
      </c>
    </row>
    <row r="140" spans="1:16" s="1" customFormat="1" ht="15.75">
      <c r="A140" s="38">
        <v>42401</v>
      </c>
      <c r="B140" s="3">
        <v>2330.8956</v>
      </c>
      <c r="C140" s="3">
        <v>5328.469429</v>
      </c>
      <c r="D140" s="3">
        <v>24.392377</v>
      </c>
      <c r="E140" s="2">
        <f t="shared" si="8"/>
        <v>7683.757406</v>
      </c>
      <c r="F140" s="4">
        <v>0</v>
      </c>
      <c r="G140" s="3">
        <v>15853.099907</v>
      </c>
      <c r="H140" s="3">
        <v>2424.9415989999998</v>
      </c>
      <c r="I140" s="3">
        <v>5751.948407</v>
      </c>
      <c r="J140" s="2">
        <f t="shared" si="9"/>
        <v>24029.989913</v>
      </c>
      <c r="K140" s="3">
        <v>3958.288356</v>
      </c>
      <c r="L140" s="3">
        <v>2.433445</v>
      </c>
      <c r="M140" s="3">
        <v>574.949216</v>
      </c>
      <c r="N140" s="2">
        <f t="shared" si="10"/>
        <v>4535.671017000001</v>
      </c>
      <c r="O140" s="3">
        <v>3479.7416679999988</v>
      </c>
      <c r="P140" s="2">
        <f t="shared" si="11"/>
        <v>39729.160004</v>
      </c>
    </row>
    <row r="141" spans="1:16" s="1" customFormat="1" ht="15.75">
      <c r="A141" s="38">
        <v>42430</v>
      </c>
      <c r="B141" s="3">
        <v>13570.038256</v>
      </c>
      <c r="C141" s="3">
        <v>4550.874071</v>
      </c>
      <c r="D141" s="3">
        <v>61.694786</v>
      </c>
      <c r="E141" s="2">
        <f t="shared" si="8"/>
        <v>18182.607113</v>
      </c>
      <c r="F141" s="4">
        <v>0</v>
      </c>
      <c r="G141" s="3">
        <v>18726.665928000002</v>
      </c>
      <c r="H141" s="3">
        <v>3113.4578810000003</v>
      </c>
      <c r="I141" s="3">
        <v>5919.5427</v>
      </c>
      <c r="J141" s="2">
        <f t="shared" si="9"/>
        <v>27759.666509000002</v>
      </c>
      <c r="K141" s="3">
        <v>5411.59346</v>
      </c>
      <c r="L141" s="3">
        <v>12.92</v>
      </c>
      <c r="M141" s="3">
        <v>599.509</v>
      </c>
      <c r="N141" s="2">
        <f t="shared" si="10"/>
        <v>6024.02246</v>
      </c>
      <c r="O141" s="3">
        <v>2287.327</v>
      </c>
      <c r="P141" s="2">
        <f t="shared" si="11"/>
        <v>54253.623082</v>
      </c>
    </row>
    <row r="142" spans="1:16" s="1" customFormat="1" ht="15.75">
      <c r="A142" s="38">
        <v>42461</v>
      </c>
      <c r="B142" s="3">
        <v>2970.470232</v>
      </c>
      <c r="C142" s="3">
        <v>4259.861696</v>
      </c>
      <c r="D142" s="3">
        <v>51.303168</v>
      </c>
      <c r="E142" s="2">
        <f t="shared" si="8"/>
        <v>7281.635096</v>
      </c>
      <c r="F142" s="4">
        <v>0</v>
      </c>
      <c r="G142" s="3">
        <v>18457.668268</v>
      </c>
      <c r="H142" s="3">
        <v>2951.595468</v>
      </c>
      <c r="I142" s="3">
        <v>6607.4944909999995</v>
      </c>
      <c r="J142" s="2">
        <f t="shared" si="9"/>
        <v>28016.758227</v>
      </c>
      <c r="K142" s="3">
        <v>4537.957932</v>
      </c>
      <c r="L142" s="3">
        <v>38.703333</v>
      </c>
      <c r="M142" s="3">
        <v>529.021614</v>
      </c>
      <c r="N142" s="2">
        <f t="shared" si="10"/>
        <v>5105.682879000001</v>
      </c>
      <c r="O142" s="3">
        <v>5194.707183999999</v>
      </c>
      <c r="P142" s="2">
        <f t="shared" si="11"/>
        <v>45598.783385999996</v>
      </c>
    </row>
    <row r="143" spans="1:16" s="1" customFormat="1" ht="15.75">
      <c r="A143" s="38">
        <v>42491</v>
      </c>
      <c r="B143" s="3">
        <v>1909.008141</v>
      </c>
      <c r="C143" s="3">
        <v>3856.015875</v>
      </c>
      <c r="D143" s="3">
        <v>30.129743</v>
      </c>
      <c r="E143" s="2">
        <f t="shared" si="8"/>
        <v>5795.153759000001</v>
      </c>
      <c r="F143" s="4">
        <v>0</v>
      </c>
      <c r="G143" s="3">
        <v>17442.730383000002</v>
      </c>
      <c r="H143" s="3">
        <v>2691.161185</v>
      </c>
      <c r="I143" s="3">
        <v>6331.084834</v>
      </c>
      <c r="J143" s="2">
        <f t="shared" si="9"/>
        <v>26464.976402000004</v>
      </c>
      <c r="K143" s="3">
        <v>4921.93759</v>
      </c>
      <c r="L143" s="3">
        <v>9.818396</v>
      </c>
      <c r="M143" s="3">
        <v>552.53900631184</v>
      </c>
      <c r="N143" s="2">
        <f t="shared" si="10"/>
        <v>5484.294992311839</v>
      </c>
      <c r="O143" s="3">
        <v>3108.8834909999596</v>
      </c>
      <c r="P143" s="2">
        <f t="shared" si="11"/>
        <v>40853.3086443118</v>
      </c>
    </row>
    <row r="144" spans="1:16" s="1" customFormat="1" ht="15.75">
      <c r="A144" s="38">
        <v>42522</v>
      </c>
      <c r="B144" s="3">
        <v>13762.412393</v>
      </c>
      <c r="C144" s="3">
        <v>5273.14559</v>
      </c>
      <c r="D144" s="3">
        <v>51.404203</v>
      </c>
      <c r="E144" s="2">
        <f t="shared" si="8"/>
        <v>19086.962185999997</v>
      </c>
      <c r="F144" s="4">
        <v>0</v>
      </c>
      <c r="G144" s="3">
        <v>17854.848137</v>
      </c>
      <c r="H144" s="3">
        <v>2972.8839510000003</v>
      </c>
      <c r="I144" s="3">
        <v>6647.904412000001</v>
      </c>
      <c r="J144" s="2">
        <f t="shared" si="9"/>
        <v>27475.6365</v>
      </c>
      <c r="K144" s="3">
        <v>4968.490044</v>
      </c>
      <c r="L144" s="3">
        <v>12.314825</v>
      </c>
      <c r="M144" s="3">
        <v>675.142557892096</v>
      </c>
      <c r="N144" s="2">
        <f t="shared" si="10"/>
        <v>5655.947426892097</v>
      </c>
      <c r="O144" s="3">
        <v>3541.9509089721078</v>
      </c>
      <c r="P144" s="2">
        <f t="shared" si="11"/>
        <v>55760.497021864205</v>
      </c>
    </row>
    <row r="145" spans="1:16" s="1" customFormat="1" ht="15.75">
      <c r="A145" s="38">
        <v>42552</v>
      </c>
      <c r="B145" s="3">
        <v>2773.07584</v>
      </c>
      <c r="C145" s="3">
        <v>4042.006806</v>
      </c>
      <c r="D145" s="3">
        <v>33.206972</v>
      </c>
      <c r="E145" s="2">
        <f t="shared" si="8"/>
        <v>6848.289618</v>
      </c>
      <c r="F145" s="4">
        <v>0</v>
      </c>
      <c r="G145" s="3">
        <v>18587.308988</v>
      </c>
      <c r="H145" s="3">
        <v>2731.882015</v>
      </c>
      <c r="I145" s="3">
        <v>7563.79665</v>
      </c>
      <c r="J145" s="2">
        <f t="shared" si="9"/>
        <v>28882.987653</v>
      </c>
      <c r="K145" s="3">
        <v>4875.976289</v>
      </c>
      <c r="L145" s="3">
        <v>4.590701</v>
      </c>
      <c r="M145" s="3">
        <v>524.975838</v>
      </c>
      <c r="N145" s="2">
        <f t="shared" si="10"/>
        <v>5405.542828000001</v>
      </c>
      <c r="O145" s="3">
        <v>3374.184739</v>
      </c>
      <c r="P145" s="2">
        <f t="shared" si="11"/>
        <v>44511.004838</v>
      </c>
    </row>
    <row r="146" spans="1:16" s="1" customFormat="1" ht="15.75">
      <c r="A146" s="38">
        <v>42583</v>
      </c>
      <c r="B146" s="3">
        <v>4383.294387</v>
      </c>
      <c r="C146" s="3">
        <v>4172.82462</v>
      </c>
      <c r="D146" s="3">
        <v>35.005323</v>
      </c>
      <c r="E146" s="2">
        <f t="shared" si="8"/>
        <v>8591.12433</v>
      </c>
      <c r="F146" s="4">
        <v>0</v>
      </c>
      <c r="G146" s="3">
        <v>20895.952275</v>
      </c>
      <c r="H146" s="3">
        <v>2636.60985</v>
      </c>
      <c r="I146" s="3">
        <v>8872.080762</v>
      </c>
      <c r="J146" s="2">
        <f t="shared" si="9"/>
        <v>32404.642887</v>
      </c>
      <c r="K146" s="3">
        <v>5133.501936</v>
      </c>
      <c r="L146" s="3">
        <v>41.471566</v>
      </c>
      <c r="M146" s="3">
        <v>675.545218</v>
      </c>
      <c r="N146" s="2">
        <f t="shared" si="10"/>
        <v>5850.51872</v>
      </c>
      <c r="O146" s="3">
        <v>3530.1130960000028</v>
      </c>
      <c r="P146" s="2">
        <f t="shared" si="11"/>
        <v>50376.399033</v>
      </c>
    </row>
    <row r="147" spans="1:16" s="1" customFormat="1" ht="15.75">
      <c r="A147" s="38">
        <v>42614</v>
      </c>
      <c r="B147" s="3">
        <v>12184.619021</v>
      </c>
      <c r="C147" s="3">
        <v>4541.489201</v>
      </c>
      <c r="D147" s="3">
        <v>30.701614</v>
      </c>
      <c r="E147" s="2">
        <f t="shared" si="8"/>
        <v>16756.809836000004</v>
      </c>
      <c r="F147" s="4">
        <v>0</v>
      </c>
      <c r="G147" s="3">
        <v>20324.324976</v>
      </c>
      <c r="H147" s="3">
        <v>2707.020049</v>
      </c>
      <c r="I147" s="3">
        <v>9179.016188</v>
      </c>
      <c r="J147" s="2">
        <f t="shared" si="9"/>
        <v>32210.361212999996</v>
      </c>
      <c r="K147" s="3">
        <v>4741.896342</v>
      </c>
      <c r="L147" s="3">
        <v>53.280083</v>
      </c>
      <c r="M147" s="3">
        <v>714.082201</v>
      </c>
      <c r="N147" s="2">
        <f t="shared" si="10"/>
        <v>5509.258626</v>
      </c>
      <c r="O147" s="3">
        <v>4490.516242</v>
      </c>
      <c r="P147" s="2">
        <f t="shared" si="11"/>
        <v>58966.945917000005</v>
      </c>
    </row>
    <row r="148" spans="1:16" s="1" customFormat="1" ht="15.75">
      <c r="A148" s="38">
        <v>42644</v>
      </c>
      <c r="B148" s="3">
        <v>3448.523146</v>
      </c>
      <c r="C148" s="3">
        <v>3963.696267</v>
      </c>
      <c r="D148" s="3">
        <v>33.594183</v>
      </c>
      <c r="E148" s="2">
        <f t="shared" si="8"/>
        <v>7445.813596</v>
      </c>
      <c r="F148" s="4">
        <v>0</v>
      </c>
      <c r="G148" s="3">
        <v>17272.716897</v>
      </c>
      <c r="H148" s="3">
        <v>2813.853199</v>
      </c>
      <c r="I148" s="3">
        <v>7889.501795</v>
      </c>
      <c r="J148" s="2">
        <f t="shared" si="9"/>
        <v>27976.071891</v>
      </c>
      <c r="K148" s="3">
        <v>4920.758441</v>
      </c>
      <c r="L148" s="3">
        <v>39.636028</v>
      </c>
      <c r="M148" s="3">
        <v>560.984098</v>
      </c>
      <c r="N148" s="2">
        <f t="shared" si="10"/>
        <v>5521.378567</v>
      </c>
      <c r="O148" s="3">
        <v>3803.489694000006</v>
      </c>
      <c r="P148" s="2">
        <f t="shared" si="11"/>
        <v>44746.753748</v>
      </c>
    </row>
    <row r="149" spans="1:16" s="1" customFormat="1" ht="15.75">
      <c r="A149" s="38">
        <v>42675</v>
      </c>
      <c r="B149" s="3">
        <v>3977.671019</v>
      </c>
      <c r="C149" s="3">
        <v>4859.973575</v>
      </c>
      <c r="D149" s="3">
        <v>24.144633</v>
      </c>
      <c r="E149" s="2">
        <f t="shared" si="8"/>
        <v>8861.789227</v>
      </c>
      <c r="F149" s="4">
        <v>0</v>
      </c>
      <c r="G149" s="3">
        <v>20937.488144</v>
      </c>
      <c r="H149" s="3">
        <v>2986.2937789999996</v>
      </c>
      <c r="I149" s="3">
        <v>6123.975727999999</v>
      </c>
      <c r="J149" s="2">
        <f t="shared" si="9"/>
        <v>30047.757651</v>
      </c>
      <c r="K149" s="3">
        <v>5286.347304</v>
      </c>
      <c r="L149" s="3">
        <v>79.835537</v>
      </c>
      <c r="M149" s="3">
        <v>627.98037</v>
      </c>
      <c r="N149" s="2">
        <f t="shared" si="10"/>
        <v>5994.163211</v>
      </c>
      <c r="O149" s="3">
        <v>4299.422129633709</v>
      </c>
      <c r="P149" s="2">
        <f t="shared" si="11"/>
        <v>49203.132218633706</v>
      </c>
    </row>
    <row r="150" spans="1:16" s="1" customFormat="1" ht="15.75">
      <c r="A150" s="38">
        <v>42705</v>
      </c>
      <c r="B150" s="3">
        <v>11866.525383</v>
      </c>
      <c r="C150" s="3">
        <v>5452.060192</v>
      </c>
      <c r="D150" s="3">
        <v>30.344473</v>
      </c>
      <c r="E150" s="2">
        <f t="shared" si="8"/>
        <v>17348.930048000002</v>
      </c>
      <c r="F150" s="4">
        <v>0</v>
      </c>
      <c r="G150" s="3">
        <v>17682.08758</v>
      </c>
      <c r="H150" s="3">
        <v>3512.465951</v>
      </c>
      <c r="I150" s="3">
        <v>6514.828551</v>
      </c>
      <c r="J150" s="2">
        <f t="shared" si="9"/>
        <v>27709.382081999996</v>
      </c>
      <c r="K150" s="3">
        <v>6084.087751</v>
      </c>
      <c r="L150" s="3">
        <v>130.781693</v>
      </c>
      <c r="M150" s="3">
        <v>913.93974190528</v>
      </c>
      <c r="N150" s="2">
        <f t="shared" si="10"/>
        <v>7128.80918590528</v>
      </c>
      <c r="O150" s="3">
        <v>3807.513468000014</v>
      </c>
      <c r="P150" s="2">
        <f t="shared" si="11"/>
        <v>55994.63478390529</v>
      </c>
    </row>
    <row r="151" spans="1:16" s="1" customFormat="1" ht="15.75">
      <c r="A151" s="38">
        <v>42736</v>
      </c>
      <c r="B151" s="3">
        <v>2258.800397</v>
      </c>
      <c r="C151" s="2">
        <v>7243.453715</v>
      </c>
      <c r="D151" s="2">
        <v>21.380001</v>
      </c>
      <c r="E151" s="2">
        <f t="shared" si="8"/>
        <v>9523.634112999998</v>
      </c>
      <c r="F151" s="4">
        <v>0</v>
      </c>
      <c r="G151" s="2">
        <v>20178.973393</v>
      </c>
      <c r="H151" s="4">
        <v>3256.005091</v>
      </c>
      <c r="I151" s="2">
        <v>8193.986678</v>
      </c>
      <c r="J151" s="2">
        <f t="shared" si="9"/>
        <v>31628.965162</v>
      </c>
      <c r="K151" s="2">
        <v>5542.820873</v>
      </c>
      <c r="L151" s="4">
        <v>25.520751</v>
      </c>
      <c r="M151" s="4">
        <v>681.322137</v>
      </c>
      <c r="N151" s="2">
        <f t="shared" si="10"/>
        <v>6249.663761</v>
      </c>
      <c r="O151" s="2">
        <v>3020.320104</v>
      </c>
      <c r="P151" s="2">
        <f t="shared" si="11"/>
        <v>50422.58314</v>
      </c>
    </row>
    <row r="152" spans="1:16" s="1" customFormat="1" ht="15.75">
      <c r="A152" s="38">
        <v>42767</v>
      </c>
      <c r="B152" s="3">
        <v>2526.659507</v>
      </c>
      <c r="C152" s="2">
        <v>4469.889765</v>
      </c>
      <c r="D152" s="2">
        <v>17.158104</v>
      </c>
      <c r="E152" s="2">
        <f t="shared" si="8"/>
        <v>7013.707376</v>
      </c>
      <c r="F152" s="4">
        <v>0</v>
      </c>
      <c r="G152" s="2">
        <v>21078.965782</v>
      </c>
      <c r="H152" s="4">
        <v>2788.1869380000003</v>
      </c>
      <c r="I152" s="2">
        <v>7833.712651</v>
      </c>
      <c r="J152" s="2">
        <f t="shared" si="9"/>
        <v>31700.865371</v>
      </c>
      <c r="K152" s="2">
        <v>5959.390306</v>
      </c>
      <c r="L152" s="4">
        <v>18.75239</v>
      </c>
      <c r="M152" s="4">
        <v>508.925813</v>
      </c>
      <c r="N152" s="2">
        <f t="shared" si="10"/>
        <v>6487.068509</v>
      </c>
      <c r="O152" s="2">
        <v>3856.6404210000055</v>
      </c>
      <c r="P152" s="2">
        <f t="shared" si="11"/>
        <v>49058.281677</v>
      </c>
    </row>
    <row r="153" spans="1:16" s="1" customFormat="1" ht="15.75">
      <c r="A153" s="38">
        <v>42795</v>
      </c>
      <c r="B153" s="3">
        <v>20688.146484</v>
      </c>
      <c r="C153" s="3">
        <v>7834.051583</v>
      </c>
      <c r="D153" s="3">
        <v>13.490003</v>
      </c>
      <c r="E153" s="2">
        <f t="shared" si="8"/>
        <v>28535.68807</v>
      </c>
      <c r="F153" s="4">
        <v>0</v>
      </c>
      <c r="G153" s="3">
        <v>19469.052112</v>
      </c>
      <c r="H153" s="3">
        <v>4037.7238310000002</v>
      </c>
      <c r="I153" s="3">
        <v>7620.687202</v>
      </c>
      <c r="J153" s="2">
        <f t="shared" si="9"/>
        <v>31127.463145</v>
      </c>
      <c r="K153" s="3">
        <v>3811.552109</v>
      </c>
      <c r="L153" s="3">
        <v>57.419384</v>
      </c>
      <c r="M153" s="3">
        <v>962.836477</v>
      </c>
      <c r="N153" s="2">
        <f t="shared" si="10"/>
        <v>4831.80797</v>
      </c>
      <c r="O153" s="3">
        <v>3403.346852999991</v>
      </c>
      <c r="P153" s="2">
        <f t="shared" si="11"/>
        <v>67898.306038</v>
      </c>
    </row>
    <row r="154" spans="1:16" s="1" customFormat="1" ht="15.75">
      <c r="A154" s="38">
        <v>42826</v>
      </c>
      <c r="B154" s="3">
        <v>3742.916694</v>
      </c>
      <c r="C154" s="3">
        <v>5386.13464</v>
      </c>
      <c r="D154" s="3">
        <v>12.272815</v>
      </c>
      <c r="E154" s="2">
        <f t="shared" si="8"/>
        <v>9141.324149</v>
      </c>
      <c r="F154" s="4">
        <v>0</v>
      </c>
      <c r="G154" s="3">
        <v>18661.554182</v>
      </c>
      <c r="H154" s="3">
        <v>8389.19787</v>
      </c>
      <c r="I154" s="3">
        <v>3438.690886</v>
      </c>
      <c r="J154" s="2">
        <f t="shared" si="9"/>
        <v>30489.442938</v>
      </c>
      <c r="K154" s="3">
        <v>2737.964485</v>
      </c>
      <c r="L154" s="3">
        <v>33.231634</v>
      </c>
      <c r="M154" s="3">
        <v>856.697108</v>
      </c>
      <c r="N154" s="2">
        <f t="shared" si="10"/>
        <v>3627.893227</v>
      </c>
      <c r="O154" s="3">
        <v>3054.9588250000006</v>
      </c>
      <c r="P154" s="2">
        <f t="shared" si="11"/>
        <v>46313.619139</v>
      </c>
    </row>
    <row r="155" spans="1:16" s="1" customFormat="1" ht="15.75">
      <c r="A155" s="38">
        <v>42856</v>
      </c>
      <c r="B155" s="8">
        <v>4057.401379</v>
      </c>
      <c r="C155" s="8">
        <v>4588.061111</v>
      </c>
      <c r="D155" s="8">
        <v>14.744797</v>
      </c>
      <c r="E155" s="2">
        <f t="shared" si="8"/>
        <v>8660.207287</v>
      </c>
      <c r="F155" s="4">
        <v>0</v>
      </c>
      <c r="G155" s="8">
        <v>19919.079979000002</v>
      </c>
      <c r="H155" s="8">
        <v>2321.62403</v>
      </c>
      <c r="I155" s="8">
        <v>7864.668595</v>
      </c>
      <c r="J155" s="2">
        <f t="shared" si="9"/>
        <v>30105.372604</v>
      </c>
      <c r="K155" s="8">
        <v>3568.970036</v>
      </c>
      <c r="L155" s="8">
        <v>40.742023</v>
      </c>
      <c r="M155" s="8">
        <v>1577.502116</v>
      </c>
      <c r="N155" s="2">
        <f t="shared" si="10"/>
        <v>5187.214175</v>
      </c>
      <c r="O155" s="8">
        <v>4037.1234890000023</v>
      </c>
      <c r="P155" s="2">
        <f t="shared" si="11"/>
        <v>47989.917555</v>
      </c>
    </row>
    <row r="156" spans="1:16" s="1" customFormat="1" ht="15.75">
      <c r="A156" s="38">
        <v>42887</v>
      </c>
      <c r="B156" s="8">
        <v>5662.687531</v>
      </c>
      <c r="C156" s="8">
        <v>12377.613835</v>
      </c>
      <c r="D156" s="8">
        <v>11.725143</v>
      </c>
      <c r="E156" s="2">
        <f t="shared" si="8"/>
        <v>18052.026509</v>
      </c>
      <c r="F156" s="4">
        <v>0</v>
      </c>
      <c r="G156" s="8">
        <v>20756.36691</v>
      </c>
      <c r="H156" s="8">
        <v>5998.188636</v>
      </c>
      <c r="I156" s="8">
        <v>7875.001683</v>
      </c>
      <c r="J156" s="2">
        <f t="shared" si="9"/>
        <v>34629.557229</v>
      </c>
      <c r="K156" s="8">
        <v>5108.1595582</v>
      </c>
      <c r="L156" s="8">
        <v>46.104436</v>
      </c>
      <c r="M156" s="8">
        <v>888.847</v>
      </c>
      <c r="N156" s="2">
        <f t="shared" si="10"/>
        <v>6043.110994199999</v>
      </c>
      <c r="O156" s="8">
        <v>3459.6310498000043</v>
      </c>
      <c r="P156" s="2">
        <f t="shared" si="11"/>
        <v>62184.325782</v>
      </c>
    </row>
    <row r="157" spans="1:16" s="1" customFormat="1" ht="15.75">
      <c r="A157" s="38">
        <v>42917</v>
      </c>
      <c r="B157" s="8">
        <v>4736.2517</v>
      </c>
      <c r="C157" s="8">
        <v>3124.563221</v>
      </c>
      <c r="D157" s="8">
        <v>36.077078</v>
      </c>
      <c r="E157" s="2">
        <f t="shared" si="8"/>
        <v>7896.8919989999995</v>
      </c>
      <c r="F157" s="4">
        <v>0</v>
      </c>
      <c r="G157" s="8">
        <v>24898.209089</v>
      </c>
      <c r="H157" s="8">
        <v>7697.051089</v>
      </c>
      <c r="I157" s="8">
        <v>9012.589358</v>
      </c>
      <c r="J157" s="2">
        <f t="shared" si="9"/>
        <v>41607.849536</v>
      </c>
      <c r="K157" s="8">
        <v>5787.419543</v>
      </c>
      <c r="L157" s="8">
        <v>54.136556</v>
      </c>
      <c r="M157" s="8">
        <v>633.412451</v>
      </c>
      <c r="N157" s="2">
        <f t="shared" si="10"/>
        <v>6474.9685500000005</v>
      </c>
      <c r="O157" s="8">
        <v>4408.210189999987</v>
      </c>
      <c r="P157" s="2">
        <f t="shared" si="11"/>
        <v>60387.92027499999</v>
      </c>
    </row>
    <row r="158" spans="1:16" s="1" customFormat="1" ht="15.75">
      <c r="A158" s="38">
        <v>42948</v>
      </c>
      <c r="B158" s="3">
        <v>5079.711055</v>
      </c>
      <c r="C158" s="2">
        <v>4519.286855</v>
      </c>
      <c r="D158" s="2">
        <v>13.886549</v>
      </c>
      <c r="E158" s="2">
        <f t="shared" si="8"/>
        <v>9612.884459</v>
      </c>
      <c r="F158" s="4">
        <v>0</v>
      </c>
      <c r="G158" s="2">
        <v>27892.494424</v>
      </c>
      <c r="H158" s="4">
        <v>7545.908271</v>
      </c>
      <c r="I158" s="2">
        <v>10464.654558999999</v>
      </c>
      <c r="J158" s="2">
        <f t="shared" si="9"/>
        <v>45903.057254</v>
      </c>
      <c r="K158" s="2">
        <v>5526.386101</v>
      </c>
      <c r="L158" s="4">
        <v>6.461807</v>
      </c>
      <c r="M158" s="4">
        <v>898.501836</v>
      </c>
      <c r="N158" s="2">
        <f t="shared" si="10"/>
        <v>6431.349744</v>
      </c>
      <c r="O158" s="2">
        <v>5633.2005500000005</v>
      </c>
      <c r="P158" s="2">
        <f t="shared" si="11"/>
        <v>67580.492007</v>
      </c>
    </row>
    <row r="159" spans="1:16" s="1" customFormat="1" ht="15.75">
      <c r="A159" s="38">
        <v>42979</v>
      </c>
      <c r="B159" s="3">
        <v>11525.647378</v>
      </c>
      <c r="C159" s="2">
        <v>4862.832909</v>
      </c>
      <c r="D159" s="2">
        <v>15.890193</v>
      </c>
      <c r="E159" s="2">
        <f aca="true" t="shared" si="12" ref="E159:E219">+B159+C159+D159</f>
        <v>16404.370479999998</v>
      </c>
      <c r="F159" s="4">
        <v>0</v>
      </c>
      <c r="G159" s="2">
        <v>24090.021207</v>
      </c>
      <c r="H159" s="4">
        <v>5247.640066</v>
      </c>
      <c r="I159" s="2">
        <v>9851.574848</v>
      </c>
      <c r="J159" s="2">
        <f aca="true" t="shared" si="13" ref="J159:J219">+G159+H159+I159</f>
        <v>39189.236121</v>
      </c>
      <c r="K159" s="2">
        <v>5615.8536</v>
      </c>
      <c r="L159" s="4">
        <v>88.53497</v>
      </c>
      <c r="M159" s="4">
        <v>587.5377</v>
      </c>
      <c r="N159" s="2">
        <f aca="true" t="shared" si="14" ref="N159:N219">+K159+L159+M159</f>
        <v>6291.92627</v>
      </c>
      <c r="O159" s="2">
        <v>3950.3751859999916</v>
      </c>
      <c r="P159" s="2">
        <f t="shared" si="11"/>
        <v>65835.908057</v>
      </c>
    </row>
    <row r="160" spans="1:16" s="1" customFormat="1" ht="15.75">
      <c r="A160" s="38">
        <v>43009</v>
      </c>
      <c r="B160" s="3">
        <v>4621.82743</v>
      </c>
      <c r="C160" s="2">
        <v>3183.17763</v>
      </c>
      <c r="D160" s="2">
        <v>14.637128</v>
      </c>
      <c r="E160" s="2">
        <f t="shared" si="12"/>
        <v>7819.642188000001</v>
      </c>
      <c r="F160" s="4">
        <v>0</v>
      </c>
      <c r="G160" s="2">
        <v>24288.244174</v>
      </c>
      <c r="H160" s="4">
        <v>5876.349879</v>
      </c>
      <c r="I160" s="2">
        <v>9503.242198</v>
      </c>
      <c r="J160" s="2">
        <f t="shared" si="13"/>
        <v>39667.836251</v>
      </c>
      <c r="K160" s="2">
        <v>4661.580072</v>
      </c>
      <c r="L160" s="4">
        <v>31.152605</v>
      </c>
      <c r="M160" s="4">
        <v>673.140598</v>
      </c>
      <c r="N160" s="2">
        <f t="shared" si="14"/>
        <v>5365.873275</v>
      </c>
      <c r="O160" s="2">
        <v>3865.4085030000106</v>
      </c>
      <c r="P160" s="2">
        <f t="shared" si="11"/>
        <v>56718.76021700001</v>
      </c>
    </row>
    <row r="161" spans="1:16" s="1" customFormat="1" ht="15.75">
      <c r="A161" s="38">
        <v>43040</v>
      </c>
      <c r="B161" s="3">
        <v>5836.534429</v>
      </c>
      <c r="C161" s="2">
        <v>4181.392</v>
      </c>
      <c r="D161" s="2">
        <v>19.07</v>
      </c>
      <c r="E161" s="2">
        <f t="shared" si="12"/>
        <v>10036.996428999999</v>
      </c>
      <c r="F161" s="4">
        <v>0</v>
      </c>
      <c r="G161" s="2">
        <v>25163.401173</v>
      </c>
      <c r="H161" s="4">
        <v>6673.649045</v>
      </c>
      <c r="I161" s="2">
        <v>7831.977207</v>
      </c>
      <c r="J161" s="2">
        <f t="shared" si="13"/>
        <v>39669.02742499999</v>
      </c>
      <c r="K161" s="2">
        <v>4739.743388</v>
      </c>
      <c r="L161" s="4">
        <v>0</v>
      </c>
      <c r="M161" s="4">
        <v>730.565512</v>
      </c>
      <c r="N161" s="2">
        <f t="shared" si="14"/>
        <v>5470.3089</v>
      </c>
      <c r="O161" s="2">
        <v>3592.1438730000004</v>
      </c>
      <c r="P161" s="2">
        <f t="shared" si="11"/>
        <v>58768.47662699999</v>
      </c>
    </row>
    <row r="162" spans="1:16" s="1" customFormat="1" ht="15.75">
      <c r="A162" s="38">
        <v>43070</v>
      </c>
      <c r="B162" s="3">
        <v>5302.624954</v>
      </c>
      <c r="C162" s="2">
        <v>13463.019287</v>
      </c>
      <c r="D162" s="2">
        <v>62.655913</v>
      </c>
      <c r="E162" s="2">
        <f t="shared" si="12"/>
        <v>18828.300153999997</v>
      </c>
      <c r="F162" s="4">
        <v>0</v>
      </c>
      <c r="G162" s="2">
        <v>23731.139846</v>
      </c>
      <c r="H162" s="4">
        <v>5830.17439</v>
      </c>
      <c r="I162" s="2">
        <v>8658.245517</v>
      </c>
      <c r="J162" s="2">
        <f t="shared" si="13"/>
        <v>38219.559752999994</v>
      </c>
      <c r="K162" s="2">
        <v>4803.86378</v>
      </c>
      <c r="L162" s="4">
        <v>17.431203</v>
      </c>
      <c r="M162" s="4">
        <v>792.603088</v>
      </c>
      <c r="N162" s="2">
        <f t="shared" si="14"/>
        <v>5613.898071</v>
      </c>
      <c r="O162" s="2">
        <v>3270.577288000003</v>
      </c>
      <c r="P162" s="2">
        <f t="shared" si="11"/>
        <v>65932.335266</v>
      </c>
    </row>
    <row r="163" spans="1:16" s="1" customFormat="1" ht="15.75">
      <c r="A163" s="38">
        <v>43101</v>
      </c>
      <c r="B163" s="3">
        <v>3655.208306</v>
      </c>
      <c r="C163" s="3">
        <v>6641.394555</v>
      </c>
      <c r="D163" s="3">
        <v>9.154943</v>
      </c>
      <c r="E163" s="2">
        <f t="shared" si="12"/>
        <v>10305.757803999999</v>
      </c>
      <c r="F163" s="4">
        <v>0</v>
      </c>
      <c r="G163" s="2">
        <v>22549.752095</v>
      </c>
      <c r="H163" s="2">
        <v>4543.526196</v>
      </c>
      <c r="I163" s="2">
        <v>8099.650506999999</v>
      </c>
      <c r="J163" s="2">
        <f t="shared" si="13"/>
        <v>35192.928798</v>
      </c>
      <c r="K163" s="2">
        <v>4454.574287</v>
      </c>
      <c r="L163" s="2">
        <v>169.495312</v>
      </c>
      <c r="M163" s="2">
        <v>893.818677</v>
      </c>
      <c r="N163" s="2">
        <f t="shared" si="14"/>
        <v>5517.888276000001</v>
      </c>
      <c r="O163" s="2">
        <v>3829.3763909999957</v>
      </c>
      <c r="P163" s="2">
        <f aca="true" t="shared" si="15" ref="P163:P219">+O163+N163+J163+E163+F163</f>
        <v>54845.951269</v>
      </c>
    </row>
    <row r="164" spans="1:16" s="1" customFormat="1" ht="15.75">
      <c r="A164" s="38">
        <v>43132</v>
      </c>
      <c r="B164" s="3">
        <v>3493.012047</v>
      </c>
      <c r="C164" s="3">
        <v>5009.536584</v>
      </c>
      <c r="D164" s="3">
        <v>5.369096</v>
      </c>
      <c r="E164" s="2">
        <f t="shared" si="12"/>
        <v>8507.917727000002</v>
      </c>
      <c r="F164" s="4">
        <v>0</v>
      </c>
      <c r="G164" s="2">
        <v>23339.248086</v>
      </c>
      <c r="H164" s="2">
        <v>5385.282765</v>
      </c>
      <c r="I164" s="2">
        <v>8756.981415</v>
      </c>
      <c r="J164" s="2">
        <f t="shared" si="13"/>
        <v>37481.512266</v>
      </c>
      <c r="K164" s="2">
        <v>4599.788603</v>
      </c>
      <c r="L164" s="2">
        <v>126.437857</v>
      </c>
      <c r="M164" s="2">
        <v>605.45054</v>
      </c>
      <c r="N164" s="2">
        <f t="shared" si="14"/>
        <v>5331.677</v>
      </c>
      <c r="O164" s="2">
        <v>3805.450762000007</v>
      </c>
      <c r="P164" s="2">
        <f t="shared" si="15"/>
        <v>55126.55775500001</v>
      </c>
    </row>
    <row r="165" spans="1:16" s="1" customFormat="1" ht="15.75">
      <c r="A165" s="38">
        <v>43160</v>
      </c>
      <c r="B165" s="3">
        <v>26341.942742</v>
      </c>
      <c r="C165" s="3">
        <v>8123.270807</v>
      </c>
      <c r="D165" s="3">
        <v>20.240547</v>
      </c>
      <c r="E165" s="2">
        <f t="shared" si="12"/>
        <v>34485.454096</v>
      </c>
      <c r="F165" s="4">
        <v>0</v>
      </c>
      <c r="G165" s="2">
        <v>25181.459515</v>
      </c>
      <c r="H165" s="2">
        <v>7702.618858</v>
      </c>
      <c r="I165" s="2">
        <v>8579.690798</v>
      </c>
      <c r="J165" s="2">
        <f t="shared" si="13"/>
        <v>41463.76917099999</v>
      </c>
      <c r="K165" s="2">
        <v>5893.90435</v>
      </c>
      <c r="L165" s="2">
        <v>71.263936</v>
      </c>
      <c r="M165" s="2">
        <v>665.789972</v>
      </c>
      <c r="N165" s="2">
        <f t="shared" si="14"/>
        <v>6630.958258000001</v>
      </c>
      <c r="O165" s="2">
        <v>3414.222696</v>
      </c>
      <c r="P165" s="2">
        <f t="shared" si="15"/>
        <v>85994.40422099999</v>
      </c>
    </row>
    <row r="166" spans="1:16" s="1" customFormat="1" ht="15.75">
      <c r="A166" s="38">
        <v>43192</v>
      </c>
      <c r="B166" s="3">
        <v>5085.767867</v>
      </c>
      <c r="C166" s="3">
        <v>5395.179979</v>
      </c>
      <c r="D166" s="3">
        <v>67.707863</v>
      </c>
      <c r="E166" s="2">
        <f t="shared" si="12"/>
        <v>10548.655708999999</v>
      </c>
      <c r="F166" s="4">
        <v>0</v>
      </c>
      <c r="G166" s="2">
        <v>24217.679161</v>
      </c>
      <c r="H166" s="2">
        <v>4768.990632</v>
      </c>
      <c r="I166" s="2">
        <v>9442.550431</v>
      </c>
      <c r="J166" s="2">
        <f t="shared" si="13"/>
        <v>38429.220224000004</v>
      </c>
      <c r="K166" s="2">
        <v>4525.240371</v>
      </c>
      <c r="L166" s="2">
        <v>145.973951</v>
      </c>
      <c r="M166" s="2">
        <v>683.768004</v>
      </c>
      <c r="N166" s="2">
        <f t="shared" si="14"/>
        <v>5354.982325999999</v>
      </c>
      <c r="O166" s="2">
        <v>4050.4103219999997</v>
      </c>
      <c r="P166" s="2">
        <f t="shared" si="15"/>
        <v>58383.268581000004</v>
      </c>
    </row>
    <row r="167" spans="1:16" s="1" customFormat="1" ht="15.75">
      <c r="A167" s="38">
        <v>43223</v>
      </c>
      <c r="B167" s="3">
        <v>3692.42016</v>
      </c>
      <c r="C167" s="3">
        <v>5063.510774</v>
      </c>
      <c r="D167" s="3">
        <v>11.58609</v>
      </c>
      <c r="E167" s="2">
        <f t="shared" si="12"/>
        <v>8767.517024</v>
      </c>
      <c r="F167" s="4">
        <v>0</v>
      </c>
      <c r="G167" s="2">
        <v>24990.552763</v>
      </c>
      <c r="H167" s="2">
        <v>4581.576552</v>
      </c>
      <c r="I167" s="2">
        <v>9658.727027</v>
      </c>
      <c r="J167" s="2">
        <f t="shared" si="13"/>
        <v>39230.856342</v>
      </c>
      <c r="K167" s="2">
        <v>5186.429731</v>
      </c>
      <c r="L167" s="2">
        <v>19.276436</v>
      </c>
      <c r="M167" s="2">
        <v>611.737009</v>
      </c>
      <c r="N167" s="2">
        <f t="shared" si="14"/>
        <v>5817.443176000001</v>
      </c>
      <c r="O167" s="2">
        <v>3945.259619</v>
      </c>
      <c r="P167" s="2">
        <f t="shared" si="15"/>
        <v>57761.076161000005</v>
      </c>
    </row>
    <row r="168" spans="1:16" s="1" customFormat="1" ht="15.75">
      <c r="A168" s="38">
        <v>43255</v>
      </c>
      <c r="B168" s="3">
        <v>15016.913821</v>
      </c>
      <c r="C168" s="3">
        <v>4848.46992</v>
      </c>
      <c r="D168" s="3">
        <v>12.336998</v>
      </c>
      <c r="E168" s="2">
        <f t="shared" si="12"/>
        <v>19877.720738999997</v>
      </c>
      <c r="F168" s="4">
        <v>0</v>
      </c>
      <c r="G168" s="2">
        <v>21082.819343</v>
      </c>
      <c r="H168" s="2">
        <v>6676.473131</v>
      </c>
      <c r="I168" s="2">
        <v>9915.544659</v>
      </c>
      <c r="J168" s="2">
        <f t="shared" si="13"/>
        <v>37674.83713299999</v>
      </c>
      <c r="K168" s="2">
        <v>7379.330527</v>
      </c>
      <c r="L168" s="2">
        <v>31.155575</v>
      </c>
      <c r="M168" s="2">
        <v>635.952962</v>
      </c>
      <c r="N168" s="2">
        <f t="shared" si="14"/>
        <v>8046.439064</v>
      </c>
      <c r="O168" s="2">
        <v>3246.0076340000005</v>
      </c>
      <c r="P168" s="2">
        <f t="shared" si="15"/>
        <v>68845.00456999999</v>
      </c>
    </row>
    <row r="169" spans="1:16" s="1" customFormat="1" ht="15.75">
      <c r="A169" s="38">
        <v>43286</v>
      </c>
      <c r="B169" s="3">
        <v>3532.292097</v>
      </c>
      <c r="C169" s="3">
        <v>4535.058249</v>
      </c>
      <c r="D169" s="3">
        <v>11.223866</v>
      </c>
      <c r="E169" s="2">
        <f t="shared" si="12"/>
        <v>8078.5742119999995</v>
      </c>
      <c r="F169" s="4">
        <v>0</v>
      </c>
      <c r="G169" s="2">
        <v>25844.096246</v>
      </c>
      <c r="H169" s="2">
        <v>4655.628727</v>
      </c>
      <c r="I169" s="2">
        <v>9469.140418</v>
      </c>
      <c r="J169" s="2">
        <f t="shared" si="13"/>
        <v>39968.865391</v>
      </c>
      <c r="K169" s="2">
        <v>5347.477682</v>
      </c>
      <c r="L169" s="2">
        <v>41.448986</v>
      </c>
      <c r="M169" s="2">
        <v>561.196326</v>
      </c>
      <c r="N169" s="2">
        <f t="shared" si="14"/>
        <v>5950.122994</v>
      </c>
      <c r="O169" s="2">
        <v>3412.182912</v>
      </c>
      <c r="P169" s="2">
        <f t="shared" si="15"/>
        <v>57409.745509</v>
      </c>
    </row>
    <row r="170" spans="1:16" s="1" customFormat="1" ht="15.75">
      <c r="A170" s="38">
        <v>43318</v>
      </c>
      <c r="B170" s="3">
        <v>6719.257382</v>
      </c>
      <c r="C170" s="3">
        <v>4334.362375</v>
      </c>
      <c r="D170" s="3">
        <v>11.021458</v>
      </c>
      <c r="E170" s="2">
        <f t="shared" si="12"/>
        <v>11064.641215</v>
      </c>
      <c r="F170" s="4">
        <v>0</v>
      </c>
      <c r="G170" s="2">
        <v>28862.30928</v>
      </c>
      <c r="H170" s="2">
        <v>7075.038320000001</v>
      </c>
      <c r="I170" s="2">
        <v>10149.251923</v>
      </c>
      <c r="J170" s="2">
        <f t="shared" si="13"/>
        <v>46086.599523</v>
      </c>
      <c r="K170" s="2">
        <v>6283.104709</v>
      </c>
      <c r="L170" s="2">
        <v>196.258689</v>
      </c>
      <c r="M170" s="2">
        <v>726.954917</v>
      </c>
      <c r="N170" s="2">
        <f t="shared" si="14"/>
        <v>7206.318315</v>
      </c>
      <c r="O170" s="2">
        <v>4631.485542</v>
      </c>
      <c r="P170" s="2">
        <f t="shared" si="15"/>
        <v>68989.044595</v>
      </c>
    </row>
    <row r="171" spans="1:16" s="1" customFormat="1" ht="15.75">
      <c r="A171" s="38">
        <v>43350</v>
      </c>
      <c r="B171" s="3">
        <v>12991.859761</v>
      </c>
      <c r="C171" s="3">
        <v>4955.566555</v>
      </c>
      <c r="D171" s="3">
        <v>80.565859</v>
      </c>
      <c r="E171" s="2">
        <f t="shared" si="12"/>
        <v>18027.992175</v>
      </c>
      <c r="F171" s="4">
        <v>0</v>
      </c>
      <c r="G171" s="2">
        <v>26143.98821</v>
      </c>
      <c r="H171" s="2">
        <v>6284.026291</v>
      </c>
      <c r="I171" s="2">
        <v>9462.38439</v>
      </c>
      <c r="J171" s="2">
        <f t="shared" si="13"/>
        <v>41890.398891</v>
      </c>
      <c r="K171" s="2">
        <v>5816.925412</v>
      </c>
      <c r="L171" s="2">
        <v>120.826352</v>
      </c>
      <c r="M171" s="2">
        <v>754.044313</v>
      </c>
      <c r="N171" s="2">
        <f t="shared" si="14"/>
        <v>6691.796077</v>
      </c>
      <c r="O171" s="2">
        <v>3436.939287</v>
      </c>
      <c r="P171" s="2">
        <f t="shared" si="15"/>
        <v>70047.12643</v>
      </c>
    </row>
    <row r="172" spans="1:16" s="1" customFormat="1" ht="15.75">
      <c r="A172" s="38">
        <v>43381</v>
      </c>
      <c r="B172" s="3">
        <v>5026.747784</v>
      </c>
      <c r="C172" s="3">
        <v>5323.584658</v>
      </c>
      <c r="D172" s="3">
        <v>17.020253</v>
      </c>
      <c r="E172" s="2">
        <f t="shared" si="12"/>
        <v>10367.352695</v>
      </c>
      <c r="F172" s="4">
        <v>0</v>
      </c>
      <c r="G172" s="2">
        <v>27401.302277000003</v>
      </c>
      <c r="H172" s="2">
        <v>5785.107129</v>
      </c>
      <c r="I172" s="2">
        <v>9040.861755</v>
      </c>
      <c r="J172" s="2">
        <f t="shared" si="13"/>
        <v>42227.271161000004</v>
      </c>
      <c r="K172" s="2">
        <v>6125.906765</v>
      </c>
      <c r="L172" s="2">
        <v>71.461343</v>
      </c>
      <c r="M172" s="2">
        <v>627.93928</v>
      </c>
      <c r="N172" s="2">
        <f t="shared" si="14"/>
        <v>6825.307387999999</v>
      </c>
      <c r="O172" s="2">
        <v>3753.9257930000003</v>
      </c>
      <c r="P172" s="2">
        <f>+O172+N172+J172+E172+F172</f>
        <v>63173.857037</v>
      </c>
    </row>
    <row r="173" spans="1:16" s="1" customFormat="1" ht="15.75">
      <c r="A173" s="38">
        <v>43405</v>
      </c>
      <c r="B173" s="3">
        <v>3795.931259</v>
      </c>
      <c r="C173" s="3">
        <v>4648.149275</v>
      </c>
      <c r="D173" s="3">
        <v>17.742362</v>
      </c>
      <c r="E173" s="2">
        <f t="shared" si="12"/>
        <v>8461.822896000001</v>
      </c>
      <c r="F173" s="4">
        <v>0</v>
      </c>
      <c r="G173" s="2">
        <v>25535.931689999998</v>
      </c>
      <c r="H173" s="2">
        <v>5734.062463</v>
      </c>
      <c r="I173" s="2">
        <v>9131.99153</v>
      </c>
      <c r="J173" s="2">
        <f t="shared" si="13"/>
        <v>40401.985683</v>
      </c>
      <c r="K173" s="2">
        <v>5041.86177</v>
      </c>
      <c r="L173" s="2">
        <v>67.882448</v>
      </c>
      <c r="M173" s="2">
        <v>712.531575</v>
      </c>
      <c r="N173" s="2">
        <f t="shared" si="14"/>
        <v>5822.275793000001</v>
      </c>
      <c r="O173" s="2">
        <v>3530.06095</v>
      </c>
      <c r="P173" s="2">
        <f t="shared" si="15"/>
        <v>58216.145322</v>
      </c>
    </row>
    <row r="174" spans="1:16" s="1" customFormat="1" ht="15.75">
      <c r="A174" s="38">
        <v>43435</v>
      </c>
      <c r="B174" s="3">
        <v>17065.648614</v>
      </c>
      <c r="C174" s="3">
        <v>6101.348626</v>
      </c>
      <c r="D174" s="3">
        <v>17.31141</v>
      </c>
      <c r="E174" s="2">
        <f t="shared" si="12"/>
        <v>23184.30865</v>
      </c>
      <c r="F174" s="4">
        <v>0</v>
      </c>
      <c r="G174" s="2">
        <v>25213.258329</v>
      </c>
      <c r="H174" s="2">
        <v>4815.159195</v>
      </c>
      <c r="I174" s="2">
        <v>8751.49862</v>
      </c>
      <c r="J174" s="2">
        <f t="shared" si="13"/>
        <v>38779.916144</v>
      </c>
      <c r="K174" s="2">
        <v>5967.155267</v>
      </c>
      <c r="L174" s="2">
        <v>37.730855</v>
      </c>
      <c r="M174" s="2">
        <v>704.123207</v>
      </c>
      <c r="N174" s="2">
        <f t="shared" si="14"/>
        <v>6709.0093289999995</v>
      </c>
      <c r="O174" s="2">
        <v>3412.458138</v>
      </c>
      <c r="P174" s="2">
        <f t="shared" si="15"/>
        <v>72085.69226099999</v>
      </c>
    </row>
    <row r="175" spans="1:16" s="1" customFormat="1" ht="15.75">
      <c r="A175" s="38">
        <v>43466</v>
      </c>
      <c r="B175" s="3">
        <v>3635.562445</v>
      </c>
      <c r="C175" s="3">
        <v>6699.435934</v>
      </c>
      <c r="D175" s="3">
        <v>13.454321</v>
      </c>
      <c r="E175" s="2">
        <f t="shared" si="12"/>
        <v>10348.4527</v>
      </c>
      <c r="F175" s="4">
        <v>0</v>
      </c>
      <c r="G175" s="2">
        <v>26618.718718</v>
      </c>
      <c r="H175" s="2">
        <v>4614.511213</v>
      </c>
      <c r="I175" s="2">
        <v>10491.367640999999</v>
      </c>
      <c r="J175" s="2">
        <f t="shared" si="13"/>
        <v>41724.597572</v>
      </c>
      <c r="K175" s="2">
        <v>5850.580121</v>
      </c>
      <c r="L175" s="2">
        <v>38.576351</v>
      </c>
      <c r="M175" s="2">
        <v>1157.060975</v>
      </c>
      <c r="N175" s="2">
        <f t="shared" si="14"/>
        <v>7046.217447</v>
      </c>
      <c r="O175" s="2">
        <v>4008.451660999999</v>
      </c>
      <c r="P175" s="2">
        <f t="shared" si="15"/>
        <v>63127.71938</v>
      </c>
    </row>
    <row r="176" spans="1:16" s="1" customFormat="1" ht="15.75">
      <c r="A176" s="38">
        <v>43497</v>
      </c>
      <c r="B176" s="3">
        <v>6813.642519</v>
      </c>
      <c r="C176" s="3">
        <v>5676.564583</v>
      </c>
      <c r="D176" s="3">
        <v>11.232376</v>
      </c>
      <c r="E176" s="2">
        <f t="shared" si="12"/>
        <v>12501.439478</v>
      </c>
      <c r="F176" s="4">
        <v>0</v>
      </c>
      <c r="G176" s="2">
        <v>26928.374337</v>
      </c>
      <c r="H176" s="2">
        <v>4682.426573000001</v>
      </c>
      <c r="I176" s="2">
        <v>8305.716069999999</v>
      </c>
      <c r="J176" s="2">
        <f t="shared" si="13"/>
        <v>39916.51698</v>
      </c>
      <c r="K176" s="2">
        <v>5297.128125</v>
      </c>
      <c r="L176" s="2">
        <v>76.084874</v>
      </c>
      <c r="M176" s="2">
        <v>553.995096</v>
      </c>
      <c r="N176" s="2">
        <f t="shared" si="14"/>
        <v>5927.208095</v>
      </c>
      <c r="O176" s="2">
        <v>3194.815902</v>
      </c>
      <c r="P176" s="2">
        <f t="shared" si="15"/>
        <v>61539.980455</v>
      </c>
    </row>
    <row r="177" spans="1:16" s="1" customFormat="1" ht="15.75">
      <c r="A177" s="38">
        <v>43525</v>
      </c>
      <c r="B177" s="3">
        <v>34235.256935</v>
      </c>
      <c r="C177" s="3">
        <v>9394.622852</v>
      </c>
      <c r="D177" s="3">
        <v>17.892672</v>
      </c>
      <c r="E177" s="2">
        <f t="shared" si="12"/>
        <v>43647.772459</v>
      </c>
      <c r="F177" s="4">
        <v>0</v>
      </c>
      <c r="G177" s="2">
        <v>24600.324756</v>
      </c>
      <c r="H177" s="2">
        <v>5833.753618</v>
      </c>
      <c r="I177" s="2">
        <v>8296.991965000001</v>
      </c>
      <c r="J177" s="2">
        <f t="shared" si="13"/>
        <v>38731.070339</v>
      </c>
      <c r="K177" s="2">
        <v>5715.719618</v>
      </c>
      <c r="L177" s="2">
        <v>34.62784</v>
      </c>
      <c r="M177" s="2">
        <v>690.812408</v>
      </c>
      <c r="N177" s="2">
        <f t="shared" si="14"/>
        <v>6441.159866</v>
      </c>
      <c r="O177" s="2">
        <v>2978.710564</v>
      </c>
      <c r="P177" s="2">
        <f t="shared" si="15"/>
        <v>91798.713228</v>
      </c>
    </row>
    <row r="178" spans="1:16" s="1" customFormat="1" ht="15.75">
      <c r="A178" s="38">
        <v>43556</v>
      </c>
      <c r="B178" s="3">
        <v>7434.64094</v>
      </c>
      <c r="C178" s="3">
        <v>6521.44524</v>
      </c>
      <c r="D178" s="3">
        <v>23.582413</v>
      </c>
      <c r="E178" s="2">
        <f t="shared" si="12"/>
        <v>13979.668593</v>
      </c>
      <c r="F178" s="4">
        <v>0</v>
      </c>
      <c r="G178" s="2">
        <v>26922.925177</v>
      </c>
      <c r="H178" s="2">
        <v>6329.846673</v>
      </c>
      <c r="I178" s="2">
        <v>9256.810709</v>
      </c>
      <c r="J178" s="2">
        <f t="shared" si="13"/>
        <v>42509.582559</v>
      </c>
      <c r="K178" s="2">
        <v>6532.247574</v>
      </c>
      <c r="L178" s="2">
        <v>10.623034</v>
      </c>
      <c r="M178" s="2">
        <v>720.263692</v>
      </c>
      <c r="N178" s="2">
        <f t="shared" si="14"/>
        <v>7263.1343</v>
      </c>
      <c r="O178" s="2">
        <v>4864.326055000001</v>
      </c>
      <c r="P178" s="2">
        <f t="shared" si="15"/>
        <v>68616.711507</v>
      </c>
    </row>
    <row r="179" spans="1:16" s="1" customFormat="1" ht="15.75">
      <c r="A179" s="38">
        <v>43586</v>
      </c>
      <c r="B179" s="3">
        <v>6223.307094</v>
      </c>
      <c r="C179" s="3">
        <v>4799.058323</v>
      </c>
      <c r="D179" s="3">
        <v>17.208088</v>
      </c>
      <c r="E179" s="2">
        <f t="shared" si="12"/>
        <v>11039.573505</v>
      </c>
      <c r="F179" s="4">
        <v>0</v>
      </c>
      <c r="G179" s="2">
        <v>27593.775434</v>
      </c>
      <c r="H179" s="2">
        <v>6503.381713000001</v>
      </c>
      <c r="I179" s="2">
        <v>8423.529572</v>
      </c>
      <c r="J179" s="2">
        <f t="shared" si="13"/>
        <v>42520.686719</v>
      </c>
      <c r="K179" s="2">
        <v>6965.40947082992</v>
      </c>
      <c r="L179" s="2">
        <v>15.397187</v>
      </c>
      <c r="M179" s="2">
        <v>581.650688</v>
      </c>
      <c r="N179" s="2">
        <f t="shared" si="14"/>
        <v>7562.457345829919</v>
      </c>
      <c r="O179" s="2">
        <v>3576.729471</v>
      </c>
      <c r="P179" s="2">
        <f t="shared" si="15"/>
        <v>64699.44704082992</v>
      </c>
    </row>
    <row r="180" spans="1:16" s="1" customFormat="1" ht="15.75">
      <c r="A180" s="38">
        <v>43617</v>
      </c>
      <c r="B180" s="3">
        <v>23336.218253</v>
      </c>
      <c r="C180" s="3">
        <v>5255.234721</v>
      </c>
      <c r="D180" s="3">
        <v>13.647641</v>
      </c>
      <c r="E180" s="2">
        <f t="shared" si="12"/>
        <v>28605.100615</v>
      </c>
      <c r="F180" s="4">
        <v>0</v>
      </c>
      <c r="G180" s="4">
        <v>27579.187805</v>
      </c>
      <c r="H180" s="2">
        <v>5978.207139</v>
      </c>
      <c r="I180" s="2">
        <v>9467.19956</v>
      </c>
      <c r="J180" s="2">
        <f t="shared" si="13"/>
        <v>43024.594504</v>
      </c>
      <c r="K180" s="2">
        <v>7673.827167</v>
      </c>
      <c r="L180" s="2">
        <v>38.873914</v>
      </c>
      <c r="M180" s="2">
        <v>641.364358</v>
      </c>
      <c r="N180" s="2">
        <f t="shared" si="14"/>
        <v>8354.065439</v>
      </c>
      <c r="O180" s="2">
        <v>3833.786631</v>
      </c>
      <c r="P180" s="2">
        <f t="shared" si="15"/>
        <v>83817.547189</v>
      </c>
    </row>
    <row r="181" spans="1:16" s="1" customFormat="1" ht="15.75">
      <c r="A181" s="38">
        <v>43647</v>
      </c>
      <c r="B181" s="5">
        <v>3815.206264</v>
      </c>
      <c r="C181" s="2">
        <v>4988.012213</v>
      </c>
      <c r="D181" s="5">
        <v>41.513847</v>
      </c>
      <c r="E181" s="2">
        <f t="shared" si="12"/>
        <v>8844.732324</v>
      </c>
      <c r="F181" s="4">
        <v>0</v>
      </c>
      <c r="G181" s="2">
        <v>28568.134055</v>
      </c>
      <c r="H181" s="5">
        <v>5453.939942</v>
      </c>
      <c r="I181" s="2">
        <v>10357.302596000001</v>
      </c>
      <c r="J181" s="5">
        <f t="shared" si="13"/>
        <v>44379.376593</v>
      </c>
      <c r="K181" s="2">
        <v>7415.656825</v>
      </c>
      <c r="L181" s="5">
        <v>7.306564</v>
      </c>
      <c r="M181" s="2">
        <v>769.339547436296</v>
      </c>
      <c r="N181" s="5">
        <f t="shared" si="14"/>
        <v>8192.302936436296</v>
      </c>
      <c r="O181" s="2">
        <v>4242.048484000014</v>
      </c>
      <c r="P181" s="2">
        <f t="shared" si="15"/>
        <v>65658.4603374363</v>
      </c>
    </row>
    <row r="182" spans="1:16" s="1" customFormat="1" ht="15.75">
      <c r="A182" s="38">
        <v>43679</v>
      </c>
      <c r="B182" s="5">
        <v>7258.145985</v>
      </c>
      <c r="C182" s="2">
        <v>4968.756939</v>
      </c>
      <c r="D182" s="5">
        <v>15.946172</v>
      </c>
      <c r="E182" s="2">
        <f t="shared" si="12"/>
        <v>12242.849096</v>
      </c>
      <c r="F182" s="4">
        <v>0</v>
      </c>
      <c r="G182" s="2">
        <v>32465.335192</v>
      </c>
      <c r="H182" s="5">
        <v>6476.802696999999</v>
      </c>
      <c r="I182" s="2">
        <v>12778.172677999999</v>
      </c>
      <c r="J182" s="5">
        <f t="shared" si="13"/>
        <v>51720.31056699999</v>
      </c>
      <c r="K182" s="2">
        <v>7293.043394</v>
      </c>
      <c r="L182" s="5">
        <v>7.292757</v>
      </c>
      <c r="M182" s="2">
        <v>619.08903166288</v>
      </c>
      <c r="N182" s="5">
        <f t="shared" si="14"/>
        <v>7919.425182662881</v>
      </c>
      <c r="O182" s="2">
        <v>4795.284693</v>
      </c>
      <c r="P182" s="2">
        <f t="shared" si="15"/>
        <v>76677.86953866288</v>
      </c>
    </row>
    <row r="183" spans="1:16" s="1" customFormat="1" ht="15.75">
      <c r="A183" s="38">
        <v>43711</v>
      </c>
      <c r="B183" s="5">
        <v>19476.690771</v>
      </c>
      <c r="C183" s="2">
        <v>5135.716433</v>
      </c>
      <c r="D183" s="5">
        <v>11.906413</v>
      </c>
      <c r="E183" s="2">
        <f t="shared" si="12"/>
        <v>24624.313617000003</v>
      </c>
      <c r="F183" s="4">
        <v>0</v>
      </c>
      <c r="G183" s="2">
        <v>29500.967796</v>
      </c>
      <c r="H183" s="5">
        <v>5660.7756739999995</v>
      </c>
      <c r="I183" s="2">
        <v>11369.395123</v>
      </c>
      <c r="J183" s="5">
        <f t="shared" si="13"/>
        <v>46531.138593</v>
      </c>
      <c r="K183" s="2">
        <v>6473.97024</v>
      </c>
      <c r="L183" s="5">
        <v>7.478003</v>
      </c>
      <c r="M183" s="2">
        <v>685.498060491456</v>
      </c>
      <c r="N183" s="5">
        <f t="shared" si="14"/>
        <v>7166.946303491456</v>
      </c>
      <c r="O183" s="2">
        <v>5596.03113</v>
      </c>
      <c r="P183" s="2">
        <f t="shared" si="15"/>
        <v>83918.42964349146</v>
      </c>
    </row>
    <row r="184" spans="1:16" s="1" customFormat="1" ht="15.75">
      <c r="A184" s="38">
        <v>43743</v>
      </c>
      <c r="B184" s="5">
        <v>11292.485925</v>
      </c>
      <c r="C184" s="2">
        <v>5787.695908</v>
      </c>
      <c r="D184" s="5">
        <v>29.434204</v>
      </c>
      <c r="E184" s="2">
        <f t="shared" si="12"/>
        <v>17109.616037000003</v>
      </c>
      <c r="F184" s="4">
        <v>0</v>
      </c>
      <c r="G184" s="2">
        <v>32646.616174</v>
      </c>
      <c r="H184" s="5">
        <v>8295.450442000001</v>
      </c>
      <c r="I184" s="2">
        <v>9805.344836</v>
      </c>
      <c r="J184" s="5">
        <f t="shared" si="13"/>
        <v>50747.411452</v>
      </c>
      <c r="K184" s="2">
        <v>7334.889505</v>
      </c>
      <c r="L184" s="5">
        <v>9.495579</v>
      </c>
      <c r="M184" s="2">
        <v>649.8880360327839</v>
      </c>
      <c r="N184" s="5">
        <f t="shared" si="14"/>
        <v>7994.273120032784</v>
      </c>
      <c r="O184" s="2">
        <v>3906.319374</v>
      </c>
      <c r="P184" s="2">
        <f t="shared" si="15"/>
        <v>79757.61998303278</v>
      </c>
    </row>
    <row r="185" spans="1:16" s="1" customFormat="1" ht="15.75">
      <c r="A185" s="38">
        <v>43775</v>
      </c>
      <c r="B185" s="5">
        <v>3165.071504</v>
      </c>
      <c r="C185" s="2">
        <v>5076.970496</v>
      </c>
      <c r="D185" s="5">
        <v>9.829104</v>
      </c>
      <c r="E185" s="2">
        <f t="shared" si="12"/>
        <v>8251.871104</v>
      </c>
      <c r="F185" s="4">
        <v>0</v>
      </c>
      <c r="G185" s="2">
        <v>30404.863493</v>
      </c>
      <c r="H185" s="5">
        <v>7202.439321</v>
      </c>
      <c r="I185" s="2">
        <v>9211.060324</v>
      </c>
      <c r="J185" s="5">
        <f t="shared" si="13"/>
        <v>46818.363138</v>
      </c>
      <c r="K185" s="2">
        <v>7429.990976</v>
      </c>
      <c r="L185" s="5">
        <v>22.757054</v>
      </c>
      <c r="M185" s="2">
        <v>645.014227103336</v>
      </c>
      <c r="N185" s="5">
        <f t="shared" si="14"/>
        <v>8097.762257103335</v>
      </c>
      <c r="O185" s="2">
        <v>5884.303105</v>
      </c>
      <c r="P185" s="2">
        <f t="shared" si="15"/>
        <v>69052.29960410333</v>
      </c>
    </row>
    <row r="186" spans="1:16" s="1" customFormat="1" ht="15.75">
      <c r="A186" s="38">
        <v>43807</v>
      </c>
      <c r="B186" s="5">
        <v>20441.365795</v>
      </c>
      <c r="C186" s="2">
        <v>6365.121926</v>
      </c>
      <c r="D186" s="5">
        <v>10.404575</v>
      </c>
      <c r="E186" s="2">
        <f t="shared" si="12"/>
        <v>26816.892296</v>
      </c>
      <c r="F186" s="4">
        <v>0</v>
      </c>
      <c r="G186" s="2">
        <v>27013.872288</v>
      </c>
      <c r="H186" s="5">
        <v>7295.833777999999</v>
      </c>
      <c r="I186" s="2">
        <v>7957.903095</v>
      </c>
      <c r="J186" s="5">
        <f t="shared" si="13"/>
        <v>42267.609161</v>
      </c>
      <c r="K186" s="2">
        <v>8177.412255</v>
      </c>
      <c r="L186" s="5">
        <v>55.484833</v>
      </c>
      <c r="M186" s="2">
        <v>608.52293</v>
      </c>
      <c r="N186" s="5">
        <f t="shared" si="14"/>
        <v>8841.420017999999</v>
      </c>
      <c r="O186" s="2">
        <v>3861.5981679999995</v>
      </c>
      <c r="P186" s="2">
        <f t="shared" si="15"/>
        <v>81787.519643</v>
      </c>
    </row>
    <row r="187" spans="1:16" s="1" customFormat="1" ht="15.75">
      <c r="A187" s="38">
        <v>43839</v>
      </c>
      <c r="B187" s="5">
        <v>6047.098546</v>
      </c>
      <c r="C187" s="2">
        <v>8289.85581656</v>
      </c>
      <c r="D187" s="5">
        <v>22.640991</v>
      </c>
      <c r="E187" s="2">
        <f t="shared" si="12"/>
        <v>14359.595353560002</v>
      </c>
      <c r="F187" s="4">
        <v>0</v>
      </c>
      <c r="G187" s="2">
        <v>31103.233799</v>
      </c>
      <c r="H187" s="5">
        <f>7217232024/1000000</f>
        <v>7217.232024</v>
      </c>
      <c r="I187" s="2">
        <v>11222.727003</v>
      </c>
      <c r="J187" s="5">
        <f t="shared" si="13"/>
        <v>49543.192826</v>
      </c>
      <c r="K187" s="2">
        <v>7748.69333</v>
      </c>
      <c r="L187" s="5">
        <v>0</v>
      </c>
      <c r="M187" s="2">
        <v>1010.87660972749</v>
      </c>
      <c r="N187" s="5">
        <f t="shared" si="14"/>
        <v>8759.56993972749</v>
      </c>
      <c r="O187" s="2">
        <v>6733.3962560672</v>
      </c>
      <c r="P187" s="2">
        <f t="shared" si="15"/>
        <v>79395.75437535469</v>
      </c>
    </row>
    <row r="188" spans="1:16" s="1" customFormat="1" ht="15.75">
      <c r="A188" s="38">
        <v>43871</v>
      </c>
      <c r="B188" s="5">
        <v>3452.477205</v>
      </c>
      <c r="C188" s="2">
        <v>5642.443539</v>
      </c>
      <c r="D188" s="5">
        <v>8.930415</v>
      </c>
      <c r="E188" s="2">
        <f t="shared" si="12"/>
        <v>9103.851159</v>
      </c>
      <c r="F188" s="4">
        <v>0</v>
      </c>
      <c r="G188" s="2">
        <v>28879.240197</v>
      </c>
      <c r="H188" s="5">
        <v>6084.674359000001</v>
      </c>
      <c r="I188" s="2">
        <v>9857.213208</v>
      </c>
      <c r="J188" s="5">
        <f t="shared" si="13"/>
        <v>44821.127764000004</v>
      </c>
      <c r="K188" s="2">
        <v>7109.548869</v>
      </c>
      <c r="L188" s="5">
        <v>17.333643</v>
      </c>
      <c r="M188" s="2">
        <v>743.61459012288</v>
      </c>
      <c r="N188" s="5">
        <f t="shared" si="14"/>
        <v>7870.49710212288</v>
      </c>
      <c r="O188" s="2">
        <v>3840.850983</v>
      </c>
      <c r="P188" s="2">
        <f t="shared" si="15"/>
        <v>65636.32700812288</v>
      </c>
    </row>
    <row r="189" spans="1:16" s="1" customFormat="1" ht="15.75">
      <c r="A189" s="38">
        <v>43903</v>
      </c>
      <c r="B189" s="5">
        <v>28647.996942</v>
      </c>
      <c r="C189" s="2">
        <v>9931.776682</v>
      </c>
      <c r="D189" s="5">
        <v>13.397473</v>
      </c>
      <c r="E189" s="2">
        <f t="shared" si="12"/>
        <v>38593.171097</v>
      </c>
      <c r="F189" s="4">
        <v>0</v>
      </c>
      <c r="G189" s="2">
        <v>30112.237877</v>
      </c>
      <c r="H189" s="5">
        <v>4554.385521</v>
      </c>
      <c r="I189" s="2">
        <v>9744.858085</v>
      </c>
      <c r="J189" s="5">
        <f t="shared" si="13"/>
        <v>44411.481482999996</v>
      </c>
      <c r="K189" s="2">
        <v>8002.299896</v>
      </c>
      <c r="L189" s="5">
        <v>41.353085</v>
      </c>
      <c r="M189" s="2">
        <v>625.673836798683</v>
      </c>
      <c r="N189" s="5">
        <f t="shared" si="14"/>
        <v>8669.326817798683</v>
      </c>
      <c r="O189" s="2">
        <v>5244.3767767360005</v>
      </c>
      <c r="P189" s="2">
        <f t="shared" si="15"/>
        <v>96918.35617453468</v>
      </c>
    </row>
    <row r="190" spans="1:16" s="1" customFormat="1" ht="15.75">
      <c r="A190" s="38">
        <v>43935</v>
      </c>
      <c r="B190" s="45">
        <v>7054.181619</v>
      </c>
      <c r="C190" s="46">
        <v>7850.300621</v>
      </c>
      <c r="D190" s="45">
        <v>14.295278</v>
      </c>
      <c r="E190" s="46">
        <f t="shared" si="12"/>
        <v>14918.777518</v>
      </c>
      <c r="F190" s="4">
        <v>0</v>
      </c>
      <c r="G190" s="46">
        <v>28480.57201</v>
      </c>
      <c r="H190" s="45">
        <v>7067.928591</v>
      </c>
      <c r="I190" s="46">
        <v>8605.134858</v>
      </c>
      <c r="J190" s="45">
        <f t="shared" si="13"/>
        <v>44153.635459</v>
      </c>
      <c r="K190" s="46">
        <v>7726.694531</v>
      </c>
      <c r="L190" s="45">
        <v>0</v>
      </c>
      <c r="M190" s="46">
        <v>444.899487</v>
      </c>
      <c r="N190" s="45">
        <f t="shared" si="14"/>
        <v>8171.594018</v>
      </c>
      <c r="O190" s="46">
        <v>4708.205223</v>
      </c>
      <c r="P190" s="2">
        <f t="shared" si="15"/>
        <v>71952.212218</v>
      </c>
    </row>
    <row r="191" spans="1:16" s="1" customFormat="1" ht="15.75">
      <c r="A191" s="38">
        <v>43967</v>
      </c>
      <c r="B191" s="45">
        <v>3804.716989</v>
      </c>
      <c r="C191" s="46">
        <v>5135.448941</v>
      </c>
      <c r="D191" s="45">
        <v>14.452281</v>
      </c>
      <c r="E191" s="46">
        <f t="shared" si="12"/>
        <v>8954.618210999999</v>
      </c>
      <c r="F191" s="4">
        <v>0</v>
      </c>
      <c r="G191" s="46">
        <v>24910.467113</v>
      </c>
      <c r="H191" s="45">
        <v>7023.397486</v>
      </c>
      <c r="I191" s="46">
        <v>8436.19507</v>
      </c>
      <c r="J191" s="45">
        <f t="shared" si="13"/>
        <v>40370.059669</v>
      </c>
      <c r="K191" s="46">
        <v>6897.81202</v>
      </c>
      <c r="L191" s="45">
        <v>0</v>
      </c>
      <c r="M191" s="46">
        <v>417.681374</v>
      </c>
      <c r="N191" s="45">
        <f t="shared" si="14"/>
        <v>7315.493394</v>
      </c>
      <c r="O191" s="46">
        <v>4082.452824</v>
      </c>
      <c r="P191" s="46">
        <f t="shared" si="15"/>
        <v>60722.62409800001</v>
      </c>
    </row>
    <row r="192" spans="1:16" s="1" customFormat="1" ht="15.75">
      <c r="A192" s="38">
        <v>43999</v>
      </c>
      <c r="B192" s="47">
        <v>25394.02876</v>
      </c>
      <c r="C192" s="48">
        <v>5815.958483</v>
      </c>
      <c r="D192" s="47">
        <v>20.758626</v>
      </c>
      <c r="E192" s="48">
        <f t="shared" si="12"/>
        <v>31230.745869000002</v>
      </c>
      <c r="F192" s="4">
        <v>0</v>
      </c>
      <c r="G192" s="48">
        <v>31025.691151</v>
      </c>
      <c r="H192" s="47">
        <v>6736.633073</v>
      </c>
      <c r="I192" s="48">
        <v>8660.110309</v>
      </c>
      <c r="J192" s="47">
        <f t="shared" si="13"/>
        <v>46422.43453299999</v>
      </c>
      <c r="K192" s="48">
        <v>8530.572067</v>
      </c>
      <c r="L192" s="47">
        <v>0</v>
      </c>
      <c r="M192" s="48">
        <v>489.77886012544</v>
      </c>
      <c r="N192" s="47">
        <f t="shared" si="14"/>
        <v>9020.350927125439</v>
      </c>
      <c r="O192" s="48">
        <v>2709.560732</v>
      </c>
      <c r="P192" s="46">
        <f t="shared" si="15"/>
        <v>89383.09206112544</v>
      </c>
    </row>
    <row r="193" spans="1:16" s="1" customFormat="1" ht="15.75">
      <c r="A193" s="38">
        <v>44031</v>
      </c>
      <c r="B193" s="45">
        <v>4186.017271</v>
      </c>
      <c r="C193" s="46">
        <v>4800.113089</v>
      </c>
      <c r="D193" s="45">
        <v>9.180798</v>
      </c>
      <c r="E193" s="46">
        <f t="shared" si="12"/>
        <v>8995.311157999999</v>
      </c>
      <c r="F193" s="49">
        <v>0</v>
      </c>
      <c r="G193" s="46">
        <v>33894.787995</v>
      </c>
      <c r="H193" s="45">
        <v>6468.789983</v>
      </c>
      <c r="I193" s="46">
        <v>11361.747689999998</v>
      </c>
      <c r="J193" s="45">
        <f t="shared" si="13"/>
        <v>51725.325668</v>
      </c>
      <c r="K193" s="46">
        <v>9416.456758</v>
      </c>
      <c r="L193" s="45">
        <v>0</v>
      </c>
      <c r="M193" s="46">
        <v>606.583552</v>
      </c>
      <c r="N193" s="45">
        <f t="shared" si="14"/>
        <v>10023.04031</v>
      </c>
      <c r="O193" s="46">
        <v>4670.960283</v>
      </c>
      <c r="P193" s="46">
        <f t="shared" si="15"/>
        <v>75414.63741899999</v>
      </c>
    </row>
    <row r="194" spans="1:16" s="1" customFormat="1" ht="15.75">
      <c r="A194" s="38">
        <v>44063</v>
      </c>
      <c r="B194" s="55">
        <v>6023.952239</v>
      </c>
      <c r="C194" s="50">
        <v>5493.802166</v>
      </c>
      <c r="D194" s="55">
        <v>15.696679</v>
      </c>
      <c r="E194" s="50">
        <f t="shared" si="12"/>
        <v>11533.451084</v>
      </c>
      <c r="F194" s="49">
        <v>0</v>
      </c>
      <c r="G194" s="50">
        <v>34495.49155</v>
      </c>
      <c r="H194" s="55">
        <v>6282.769501</v>
      </c>
      <c r="I194" s="50">
        <v>12770.957336</v>
      </c>
      <c r="J194" s="55">
        <f t="shared" si="13"/>
        <v>53549.218387</v>
      </c>
      <c r="K194" s="50">
        <v>10752.740907</v>
      </c>
      <c r="L194" s="55">
        <v>0</v>
      </c>
      <c r="M194" s="50">
        <v>635.247794</v>
      </c>
      <c r="N194" s="55">
        <f t="shared" si="14"/>
        <v>11387.988701</v>
      </c>
      <c r="O194" s="50">
        <v>5898.5994519999995</v>
      </c>
      <c r="P194" s="50">
        <f t="shared" si="15"/>
        <v>82369.257624</v>
      </c>
    </row>
    <row r="195" spans="1:16" s="1" customFormat="1" ht="15.75">
      <c r="A195" s="38">
        <v>44075</v>
      </c>
      <c r="B195" s="45">
        <v>21571.504559</v>
      </c>
      <c r="C195" s="46">
        <v>6398.381782</v>
      </c>
      <c r="D195" s="45">
        <v>19.205496</v>
      </c>
      <c r="E195" s="46">
        <f t="shared" si="12"/>
        <v>27989.091837</v>
      </c>
      <c r="F195" s="49">
        <v>0</v>
      </c>
      <c r="G195" s="46">
        <v>35089.633268</v>
      </c>
      <c r="H195" s="45">
        <v>6224.189547</v>
      </c>
      <c r="I195" s="46">
        <v>11140.193755</v>
      </c>
      <c r="J195" s="45">
        <f t="shared" si="13"/>
        <v>52454.01657</v>
      </c>
      <c r="K195" s="46">
        <v>11826.081157</v>
      </c>
      <c r="L195" s="45">
        <v>30.413443</v>
      </c>
      <c r="M195" s="46">
        <v>529.261751</v>
      </c>
      <c r="N195" s="45">
        <f t="shared" si="14"/>
        <v>12385.756351</v>
      </c>
      <c r="O195" s="46">
        <v>4921.721358</v>
      </c>
      <c r="P195" s="46">
        <f t="shared" si="15"/>
        <v>97750.586116</v>
      </c>
    </row>
    <row r="196" spans="1:16" s="1" customFormat="1" ht="15.75">
      <c r="A196" s="38">
        <v>44117</v>
      </c>
      <c r="B196" s="45">
        <v>6945.791308</v>
      </c>
      <c r="C196" s="46">
        <v>5536.477723</v>
      </c>
      <c r="D196" s="45">
        <v>15.562109</v>
      </c>
      <c r="E196" s="46">
        <f t="shared" si="12"/>
        <v>12497.83114</v>
      </c>
      <c r="F196" s="4">
        <v>0</v>
      </c>
      <c r="G196" s="46">
        <v>28210.323212</v>
      </c>
      <c r="H196" s="45">
        <v>6750.963336</v>
      </c>
      <c r="I196" s="46">
        <v>10371.647981999999</v>
      </c>
      <c r="J196" s="45">
        <f t="shared" si="13"/>
        <v>45332.93453</v>
      </c>
      <c r="K196" s="46">
        <v>12103.164546</v>
      </c>
      <c r="L196" s="45">
        <v>11.366147</v>
      </c>
      <c r="M196" s="46">
        <v>764.769608</v>
      </c>
      <c r="N196" s="45">
        <f t="shared" si="14"/>
        <v>12879.300301000001</v>
      </c>
      <c r="O196" s="46">
        <v>4885.1281579999995</v>
      </c>
      <c r="P196" s="46">
        <f t="shared" si="15"/>
        <v>75595.194129</v>
      </c>
    </row>
    <row r="197" spans="1:16" s="1" customFormat="1" ht="15.75">
      <c r="A197" s="38">
        <v>44149</v>
      </c>
      <c r="B197" s="45">
        <v>5351.900987</v>
      </c>
      <c r="C197" s="46">
        <v>5820.356152</v>
      </c>
      <c r="D197" s="45">
        <v>20.807188</v>
      </c>
      <c r="E197" s="46">
        <f t="shared" si="12"/>
        <v>11193.064327000002</v>
      </c>
      <c r="F197" s="4">
        <v>0</v>
      </c>
      <c r="G197" s="46">
        <v>31689.086076</v>
      </c>
      <c r="H197" s="45">
        <v>6785.9159500000005</v>
      </c>
      <c r="I197" s="46">
        <v>10673.970052</v>
      </c>
      <c r="J197" s="45">
        <f t="shared" si="13"/>
        <v>49148.972078000006</v>
      </c>
      <c r="K197" s="46">
        <v>11546.399437</v>
      </c>
      <c r="L197" s="45">
        <v>0</v>
      </c>
      <c r="M197" s="46">
        <v>632.211471</v>
      </c>
      <c r="N197" s="45">
        <f t="shared" si="14"/>
        <v>12178.610908</v>
      </c>
      <c r="O197" s="46">
        <v>4510.812611</v>
      </c>
      <c r="P197" s="46">
        <f t="shared" si="15"/>
        <v>77031.45992400001</v>
      </c>
    </row>
    <row r="198" spans="1:16" s="1" customFormat="1" ht="15.75">
      <c r="A198" s="38">
        <v>44180</v>
      </c>
      <c r="B198" s="45">
        <v>21386.84694</v>
      </c>
      <c r="C198" s="46">
        <v>7746.322118</v>
      </c>
      <c r="D198" s="45">
        <v>18.487629</v>
      </c>
      <c r="E198" s="46">
        <f t="shared" si="12"/>
        <v>29151.656687</v>
      </c>
      <c r="F198" s="4">
        <v>0</v>
      </c>
      <c r="G198" s="46">
        <v>32292.95276</v>
      </c>
      <c r="H198" s="45">
        <v>7494.814071999999</v>
      </c>
      <c r="I198" s="46">
        <v>10889.358374</v>
      </c>
      <c r="J198" s="45">
        <f t="shared" si="13"/>
        <v>50677.125206</v>
      </c>
      <c r="K198" s="46">
        <v>12502.262904</v>
      </c>
      <c r="L198" s="45">
        <v>86.993099</v>
      </c>
      <c r="M198" s="46">
        <v>533.827936</v>
      </c>
      <c r="N198" s="45">
        <f t="shared" si="14"/>
        <v>13123.083938999998</v>
      </c>
      <c r="O198" s="46">
        <v>5369.58819</v>
      </c>
      <c r="P198" s="46">
        <f t="shared" si="15"/>
        <v>98321.45402199999</v>
      </c>
    </row>
    <row r="199" spans="1:16" s="1" customFormat="1" ht="15.75">
      <c r="A199" s="38">
        <v>44211</v>
      </c>
      <c r="B199" s="45">
        <v>4984.775799</v>
      </c>
      <c r="C199" s="46">
        <v>9497.441855</v>
      </c>
      <c r="D199" s="45">
        <v>8.477266</v>
      </c>
      <c r="E199" s="46">
        <f t="shared" si="12"/>
        <v>14490.69492</v>
      </c>
      <c r="F199" s="53"/>
      <c r="G199" s="46">
        <v>32546.707331</v>
      </c>
      <c r="H199" s="45">
        <v>7180.7959900000005</v>
      </c>
      <c r="I199" s="46">
        <v>11243.651287</v>
      </c>
      <c r="J199" s="45">
        <f t="shared" si="13"/>
        <v>50971.154608000004</v>
      </c>
      <c r="K199" s="46">
        <v>10600.66604</v>
      </c>
      <c r="L199" s="45">
        <v>8.817003</v>
      </c>
      <c r="M199" s="46">
        <v>838.242581</v>
      </c>
      <c r="N199" s="45">
        <f t="shared" si="14"/>
        <v>11447.725624</v>
      </c>
      <c r="O199" s="46">
        <v>5989.576556</v>
      </c>
      <c r="P199" s="46">
        <f t="shared" si="15"/>
        <v>82899.151708</v>
      </c>
    </row>
    <row r="200" spans="1:16" s="1" customFormat="1" ht="15.75">
      <c r="A200" s="38">
        <v>44237</v>
      </c>
      <c r="B200" s="45">
        <v>4631.658457</v>
      </c>
      <c r="C200" s="46">
        <v>6809.007788</v>
      </c>
      <c r="D200" s="45">
        <v>7.460852</v>
      </c>
      <c r="E200" s="46">
        <f t="shared" si="12"/>
        <v>11448.127097</v>
      </c>
      <c r="F200" s="53"/>
      <c r="G200" s="46">
        <v>29724.194968</v>
      </c>
      <c r="H200" s="45">
        <v>5899.080475</v>
      </c>
      <c r="I200" s="46">
        <v>9946.655064</v>
      </c>
      <c r="J200" s="45">
        <f t="shared" si="13"/>
        <v>45569.930507</v>
      </c>
      <c r="K200" s="46">
        <v>8951.747085</v>
      </c>
      <c r="L200" s="45">
        <v>66.059627</v>
      </c>
      <c r="M200" s="46">
        <v>574.182396</v>
      </c>
      <c r="N200" s="45">
        <f t="shared" si="14"/>
        <v>9591.989108000002</v>
      </c>
      <c r="O200" s="46">
        <v>6125.716937</v>
      </c>
      <c r="P200" s="46">
        <f t="shared" si="15"/>
        <v>72735.763649</v>
      </c>
    </row>
    <row r="201" spans="1:16" s="1" customFormat="1" ht="15.75">
      <c r="A201" s="38">
        <v>44263</v>
      </c>
      <c r="B201" s="45">
        <v>24838.881268</v>
      </c>
      <c r="C201" s="46">
        <v>10084.245922</v>
      </c>
      <c r="D201" s="45">
        <v>17.267541</v>
      </c>
      <c r="E201" s="46">
        <f t="shared" si="12"/>
        <v>34940.394731</v>
      </c>
      <c r="F201" s="53"/>
      <c r="G201" s="46">
        <v>35011.960956</v>
      </c>
      <c r="H201" s="45">
        <v>8415.102584</v>
      </c>
      <c r="I201" s="46">
        <v>9668.909187000001</v>
      </c>
      <c r="J201" s="45">
        <f t="shared" si="13"/>
        <v>53095.972727</v>
      </c>
      <c r="K201" s="46">
        <v>11733.891806</v>
      </c>
      <c r="L201" s="45">
        <v>59.235153</v>
      </c>
      <c r="M201" s="46">
        <v>502.580305</v>
      </c>
      <c r="N201" s="45">
        <f t="shared" si="14"/>
        <v>12295.707263999999</v>
      </c>
      <c r="O201" s="46">
        <v>4954.509841</v>
      </c>
      <c r="P201" s="46">
        <f t="shared" si="15"/>
        <v>105286.58456300001</v>
      </c>
    </row>
    <row r="202" spans="1:16" s="1" customFormat="1" ht="15.75">
      <c r="A202" s="38">
        <v>44289</v>
      </c>
      <c r="B202" s="45">
        <v>9649.593994</v>
      </c>
      <c r="C202" s="46">
        <v>9327.428963</v>
      </c>
      <c r="D202" s="45">
        <v>28.629045</v>
      </c>
      <c r="E202" s="46">
        <f t="shared" si="12"/>
        <v>19005.652002000003</v>
      </c>
      <c r="F202" s="53"/>
      <c r="G202" s="46">
        <v>35958.316011</v>
      </c>
      <c r="H202" s="45">
        <v>7220.804164</v>
      </c>
      <c r="I202" s="46">
        <v>10245.15816</v>
      </c>
      <c r="J202" s="45">
        <f t="shared" si="13"/>
        <v>53424.278335</v>
      </c>
      <c r="K202" s="46">
        <v>11346.44309</v>
      </c>
      <c r="L202" s="45">
        <v>16.625256</v>
      </c>
      <c r="M202" s="46">
        <v>480.583367</v>
      </c>
      <c r="N202" s="45">
        <f t="shared" si="14"/>
        <v>11843.651713</v>
      </c>
      <c r="O202" s="46">
        <v>5586.503027031999</v>
      </c>
      <c r="P202" s="46">
        <f t="shared" si="15"/>
        <v>89860.085077032</v>
      </c>
    </row>
    <row r="203" spans="1:16" s="1" customFormat="1" ht="15.75">
      <c r="A203" s="38">
        <v>44345</v>
      </c>
      <c r="B203" s="45">
        <v>4944.088428</v>
      </c>
      <c r="C203" s="46">
        <v>6345.463763</v>
      </c>
      <c r="D203" s="45">
        <v>26.815025</v>
      </c>
      <c r="E203" s="46">
        <f t="shared" si="12"/>
        <v>11316.367215999999</v>
      </c>
      <c r="F203" s="53"/>
      <c r="G203" s="46">
        <v>33473.319833</v>
      </c>
      <c r="H203" s="45">
        <v>7081.0709</v>
      </c>
      <c r="I203" s="46">
        <v>9150.423137</v>
      </c>
      <c r="J203" s="45">
        <f t="shared" si="13"/>
        <v>49704.81387</v>
      </c>
      <c r="K203" s="46">
        <v>11274.241718</v>
      </c>
      <c r="L203" s="45">
        <v>12.656489</v>
      </c>
      <c r="M203" s="46">
        <v>701.765036</v>
      </c>
      <c r="N203" s="45">
        <f t="shared" si="14"/>
        <v>11988.663243</v>
      </c>
      <c r="O203" s="46">
        <v>6739.384976521</v>
      </c>
      <c r="P203" s="46">
        <f t="shared" si="15"/>
        <v>79749.22930552099</v>
      </c>
    </row>
    <row r="204" spans="1:16" s="1" customFormat="1" ht="15.75">
      <c r="A204" s="38">
        <v>44371</v>
      </c>
      <c r="B204" s="45">
        <v>24476.466187</v>
      </c>
      <c r="C204" s="46">
        <v>6556.392156</v>
      </c>
      <c r="D204" s="45">
        <v>15.010782</v>
      </c>
      <c r="E204" s="46">
        <f t="shared" si="12"/>
        <v>31047.869125</v>
      </c>
      <c r="F204" s="53"/>
      <c r="G204" s="46">
        <v>37763.455011</v>
      </c>
      <c r="H204" s="45">
        <v>8444.218532</v>
      </c>
      <c r="I204" s="46">
        <v>9822.179358000001</v>
      </c>
      <c r="J204" s="45">
        <f t="shared" si="13"/>
        <v>56029.852901</v>
      </c>
      <c r="K204" s="46">
        <v>11785.870497</v>
      </c>
      <c r="L204" s="45">
        <v>11.996067</v>
      </c>
      <c r="M204" s="46">
        <v>487.064409</v>
      </c>
      <c r="N204" s="45">
        <f t="shared" si="14"/>
        <v>12284.930973</v>
      </c>
      <c r="O204" s="46">
        <v>5749.321154725</v>
      </c>
      <c r="P204" s="46">
        <f t="shared" si="15"/>
        <v>105111.974153725</v>
      </c>
    </row>
    <row r="205" spans="1:16" s="1" customFormat="1" ht="15.75">
      <c r="A205" s="38">
        <v>44397</v>
      </c>
      <c r="B205" s="45">
        <v>5851.410669</v>
      </c>
      <c r="C205" s="46">
        <v>7818.706604</v>
      </c>
      <c r="D205" s="45">
        <v>44.783323</v>
      </c>
      <c r="E205" s="46">
        <f t="shared" si="12"/>
        <v>13714.900596</v>
      </c>
      <c r="F205" s="53"/>
      <c r="G205" s="46">
        <v>37856.268625</v>
      </c>
      <c r="H205" s="45">
        <v>7841.0094</v>
      </c>
      <c r="I205" s="46">
        <v>11048.173545</v>
      </c>
      <c r="J205" s="45">
        <f t="shared" si="13"/>
        <v>56745.45157</v>
      </c>
      <c r="K205" s="46">
        <v>11883.547427</v>
      </c>
      <c r="L205" s="45">
        <v>3.36986</v>
      </c>
      <c r="M205" s="46">
        <v>483.714408001184</v>
      </c>
      <c r="N205" s="45">
        <f t="shared" si="14"/>
        <v>12370.631695001184</v>
      </c>
      <c r="O205" s="46">
        <v>6612.074764</v>
      </c>
      <c r="P205" s="46">
        <f t="shared" si="15"/>
        <v>89443.05862500117</v>
      </c>
    </row>
    <row r="206" spans="1:16" s="1" customFormat="1" ht="15.75">
      <c r="A206" s="38">
        <v>44423</v>
      </c>
      <c r="B206" s="45">
        <v>6772.761526</v>
      </c>
      <c r="C206" s="46">
        <v>6012.6633134700005</v>
      </c>
      <c r="D206" s="45">
        <v>22.3858</v>
      </c>
      <c r="E206" s="46">
        <f t="shared" si="12"/>
        <v>12807.81063947</v>
      </c>
      <c r="F206" s="53"/>
      <c r="G206" s="46">
        <v>44499.428834</v>
      </c>
      <c r="H206" s="45">
        <v>6870.7962720000005</v>
      </c>
      <c r="I206" s="46">
        <v>11914.477625</v>
      </c>
      <c r="J206" s="45">
        <f t="shared" si="13"/>
        <v>63284.702731</v>
      </c>
      <c r="K206" s="46">
        <v>12332.753414</v>
      </c>
      <c r="L206" s="45">
        <v>47.395398</v>
      </c>
      <c r="M206" s="46">
        <v>504.840562</v>
      </c>
      <c r="N206" s="45">
        <f t="shared" si="14"/>
        <v>12884.989374</v>
      </c>
      <c r="O206" s="46">
        <v>11446.8240023583</v>
      </c>
      <c r="P206" s="46">
        <f t="shared" si="15"/>
        <v>100424.3267468283</v>
      </c>
    </row>
    <row r="207" spans="1:16" s="1" customFormat="1" ht="15.75">
      <c r="A207" s="38">
        <v>44449</v>
      </c>
      <c r="B207" s="45">
        <v>22163.469084</v>
      </c>
      <c r="C207" s="46">
        <v>6458.976755</v>
      </c>
      <c r="D207" s="45">
        <v>23.373854</v>
      </c>
      <c r="E207" s="46">
        <f t="shared" si="12"/>
        <v>28645.819693</v>
      </c>
      <c r="F207" s="53"/>
      <c r="G207" s="46">
        <v>38106.500632</v>
      </c>
      <c r="H207" s="45">
        <v>7320.548165</v>
      </c>
      <c r="I207" s="46">
        <v>11890.219264</v>
      </c>
      <c r="J207" s="45">
        <f t="shared" si="13"/>
        <v>57317.268061</v>
      </c>
      <c r="K207" s="46">
        <v>9691.928371</v>
      </c>
      <c r="L207" s="45">
        <v>6.139779</v>
      </c>
      <c r="M207" s="46">
        <v>575.999326</v>
      </c>
      <c r="N207" s="45">
        <f t="shared" si="14"/>
        <v>10274.067475999998</v>
      </c>
      <c r="O207" s="46">
        <v>7935.0499488449</v>
      </c>
      <c r="P207" s="46">
        <f t="shared" si="15"/>
        <v>104172.2051788449</v>
      </c>
    </row>
    <row r="208" spans="1:16" s="1" customFormat="1" ht="15.75">
      <c r="A208" s="38">
        <v>44475</v>
      </c>
      <c r="B208" s="45">
        <v>6572.620563</v>
      </c>
      <c r="C208" s="46">
        <v>6318.402216</v>
      </c>
      <c r="D208" s="45">
        <v>68.813199</v>
      </c>
      <c r="E208" s="46">
        <f t="shared" si="12"/>
        <v>12959.835978000001</v>
      </c>
      <c r="F208" s="53"/>
      <c r="G208" s="46">
        <v>36497.295369</v>
      </c>
      <c r="H208" s="45">
        <v>8687.077524</v>
      </c>
      <c r="I208" s="46">
        <v>12226.44287</v>
      </c>
      <c r="J208" s="45">
        <f t="shared" si="13"/>
        <v>57410.815763</v>
      </c>
      <c r="K208" s="46">
        <v>7707.724654</v>
      </c>
      <c r="L208" s="45">
        <v>45.202448</v>
      </c>
      <c r="M208" s="46">
        <v>411.199048</v>
      </c>
      <c r="N208" s="45">
        <f t="shared" si="14"/>
        <v>8164.12615</v>
      </c>
      <c r="O208" s="46">
        <v>6766.385069999999</v>
      </c>
      <c r="P208" s="46">
        <f t="shared" si="15"/>
        <v>85301.16296100001</v>
      </c>
    </row>
    <row r="209" spans="1:16" s="1" customFormat="1" ht="15.75">
      <c r="A209" s="38">
        <v>44501</v>
      </c>
      <c r="B209" s="45">
        <v>4483.709482</v>
      </c>
      <c r="C209" s="46">
        <v>6194.678194</v>
      </c>
      <c r="D209" s="45">
        <v>32.881089</v>
      </c>
      <c r="E209" s="46">
        <f t="shared" si="12"/>
        <v>10711.268765</v>
      </c>
      <c r="F209" s="53"/>
      <c r="G209" s="46">
        <v>38222.843554</v>
      </c>
      <c r="H209" s="45">
        <v>7552.344426</v>
      </c>
      <c r="I209" s="46">
        <v>11310.766562</v>
      </c>
      <c r="J209" s="45">
        <f t="shared" si="13"/>
        <v>57085.95454200001</v>
      </c>
      <c r="K209" s="46">
        <v>7648.550015</v>
      </c>
      <c r="L209" s="45">
        <v>110.820079</v>
      </c>
      <c r="M209" s="46">
        <v>487.372262</v>
      </c>
      <c r="N209" s="45">
        <f t="shared" si="14"/>
        <v>8246.742356</v>
      </c>
      <c r="O209" s="46">
        <v>6231.544958</v>
      </c>
      <c r="P209" s="46">
        <f t="shared" si="15"/>
        <v>82275.51062100001</v>
      </c>
    </row>
    <row r="210" spans="1:16" s="1" customFormat="1" ht="15.75">
      <c r="A210" s="38">
        <v>44557</v>
      </c>
      <c r="B210" s="55">
        <v>21353.955248</v>
      </c>
      <c r="C210" s="50">
        <v>7597.016192</v>
      </c>
      <c r="D210" s="55">
        <v>25.151264</v>
      </c>
      <c r="E210" s="50">
        <f t="shared" si="12"/>
        <v>28976.122703999998</v>
      </c>
      <c r="F210" s="56"/>
      <c r="G210" s="50">
        <v>38340.860257</v>
      </c>
      <c r="H210" s="55">
        <v>9066.354985</v>
      </c>
      <c r="I210" s="50">
        <v>10511.514293999999</v>
      </c>
      <c r="J210" s="55">
        <f t="shared" si="13"/>
        <v>57918.729536</v>
      </c>
      <c r="K210" s="50">
        <v>8133.913935</v>
      </c>
      <c r="L210" s="55">
        <v>28.380946</v>
      </c>
      <c r="M210" s="50">
        <v>457.115783</v>
      </c>
      <c r="N210" s="55">
        <f t="shared" si="14"/>
        <v>8619.410663999999</v>
      </c>
      <c r="O210" s="50">
        <v>6098.207479</v>
      </c>
      <c r="P210" s="50">
        <f t="shared" si="15"/>
        <v>101612.47038299999</v>
      </c>
    </row>
    <row r="211" spans="1:16" s="1" customFormat="1" ht="15.75">
      <c r="A211" s="38">
        <v>44582</v>
      </c>
      <c r="B211" s="45">
        <v>7041.728757</v>
      </c>
      <c r="C211" s="46">
        <v>11756.211424</v>
      </c>
      <c r="D211" s="45">
        <v>45.914524</v>
      </c>
      <c r="E211" s="46">
        <f t="shared" si="12"/>
        <v>18843.854704999998</v>
      </c>
      <c r="F211" s="53"/>
      <c r="G211" s="46">
        <v>39220.958421</v>
      </c>
      <c r="H211" s="45">
        <v>3587.129168</v>
      </c>
      <c r="I211" s="46">
        <v>11831.813268</v>
      </c>
      <c r="J211" s="45">
        <f t="shared" si="13"/>
        <v>54639.900857</v>
      </c>
      <c r="K211" s="46">
        <v>11855.785556</v>
      </c>
      <c r="L211" s="45">
        <v>17.963908</v>
      </c>
      <c r="M211" s="46">
        <v>951.067294</v>
      </c>
      <c r="N211" s="45">
        <f t="shared" si="14"/>
        <v>12824.816758</v>
      </c>
      <c r="O211" s="46">
        <v>7916.908523</v>
      </c>
      <c r="P211" s="46">
        <f t="shared" si="15"/>
        <v>94225.480843</v>
      </c>
    </row>
    <row r="212" spans="1:16" s="1" customFormat="1" ht="15.75">
      <c r="A212" s="38">
        <v>44607</v>
      </c>
      <c r="B212" s="45">
        <v>6999.108086</v>
      </c>
      <c r="C212" s="46">
        <v>6870.716867</v>
      </c>
      <c r="D212" s="45">
        <v>24.886081</v>
      </c>
      <c r="E212" s="46">
        <f t="shared" si="12"/>
        <v>13894.711034</v>
      </c>
      <c r="F212" s="53"/>
      <c r="G212" s="46">
        <v>37865.44781</v>
      </c>
      <c r="H212" s="45">
        <v>6868.385316</v>
      </c>
      <c r="I212" s="46">
        <v>9393.778796999999</v>
      </c>
      <c r="J212" s="45">
        <f t="shared" si="13"/>
        <v>54127.611923</v>
      </c>
      <c r="K212" s="46">
        <v>7296.500623</v>
      </c>
      <c r="L212" s="45">
        <v>59.216367</v>
      </c>
      <c r="M212" s="46">
        <v>471.931109</v>
      </c>
      <c r="N212" s="45">
        <f t="shared" si="14"/>
        <v>7827.648099</v>
      </c>
      <c r="O212" s="46">
        <v>5718.026507412001</v>
      </c>
      <c r="P212" s="46">
        <f t="shared" si="15"/>
        <v>81567.997563412</v>
      </c>
    </row>
    <row r="213" spans="1:16" s="1" customFormat="1" ht="15.75">
      <c r="A213" s="38">
        <v>44628</v>
      </c>
      <c r="B213" s="45">
        <v>56861.212513</v>
      </c>
      <c r="C213" s="46">
        <v>10802.059737</v>
      </c>
      <c r="D213" s="45">
        <v>23.612196</v>
      </c>
      <c r="E213" s="46">
        <f t="shared" si="12"/>
        <v>67686.884446</v>
      </c>
      <c r="F213" s="53"/>
      <c r="G213" s="46">
        <v>37106.593733</v>
      </c>
      <c r="H213" s="45">
        <v>7429.0198230000005</v>
      </c>
      <c r="I213" s="46">
        <v>8316.013783</v>
      </c>
      <c r="J213" s="45">
        <f t="shared" si="13"/>
        <v>52851.627339000006</v>
      </c>
      <c r="K213" s="46">
        <v>8714.462896</v>
      </c>
      <c r="L213" s="45">
        <v>39.478253</v>
      </c>
      <c r="M213" s="46">
        <v>600.143214</v>
      </c>
      <c r="N213" s="45">
        <f t="shared" si="14"/>
        <v>9354.084362999998</v>
      </c>
      <c r="O213" s="46">
        <v>5481.573588360499</v>
      </c>
      <c r="P213" s="46">
        <f t="shared" si="15"/>
        <v>135374.1697363605</v>
      </c>
    </row>
    <row r="214" spans="1:16" s="1" customFormat="1" ht="15.75">
      <c r="A214" s="38">
        <v>44680</v>
      </c>
      <c r="B214" s="45">
        <v>39536.25128547622</v>
      </c>
      <c r="C214" s="46">
        <v>8998.739508633527</v>
      </c>
      <c r="D214" s="45">
        <v>16.391723615710536</v>
      </c>
      <c r="E214" s="46">
        <f t="shared" si="12"/>
        <v>48551.38251772546</v>
      </c>
      <c r="F214" s="53"/>
      <c r="G214" s="46">
        <v>24196.858731803444</v>
      </c>
      <c r="H214" s="45">
        <v>5157.268712924914</v>
      </c>
      <c r="I214" s="46">
        <v>5773.02507210153</v>
      </c>
      <c r="J214" s="45">
        <f t="shared" si="13"/>
        <v>35127.15251682989</v>
      </c>
      <c r="K214" s="46">
        <v>6049.630760755858</v>
      </c>
      <c r="L214" s="45">
        <v>27.406032543821652</v>
      </c>
      <c r="M214" s="46">
        <v>416.6229051178562</v>
      </c>
      <c r="N214" s="45">
        <f t="shared" si="14"/>
        <v>6493.659698417536</v>
      </c>
      <c r="O214" s="46">
        <v>3805.340225008466</v>
      </c>
      <c r="P214" s="46">
        <f t="shared" si="15"/>
        <v>93977.53495798135</v>
      </c>
    </row>
    <row r="215" spans="1:16" s="1" customFormat="1" ht="15.75">
      <c r="A215" s="38">
        <v>44710</v>
      </c>
      <c r="B215" s="45">
        <v>36523.802585123245</v>
      </c>
      <c r="C215" s="45">
        <v>8313.084185829659</v>
      </c>
      <c r="D215" s="45">
        <v>15.142762854455157</v>
      </c>
      <c r="E215" s="45">
        <f t="shared" si="12"/>
        <v>44852.029533807356</v>
      </c>
      <c r="F215" s="45"/>
      <c r="G215" s="45">
        <v>22353.1888524079</v>
      </c>
      <c r="H215" s="45">
        <v>4764.31270605815</v>
      </c>
      <c r="I215" s="45">
        <v>5333.151758114727</v>
      </c>
      <c r="J215" s="45">
        <f t="shared" si="13"/>
        <v>32450.653316580778</v>
      </c>
      <c r="K215" s="45">
        <v>5588.68158802665</v>
      </c>
      <c r="L215" s="45">
        <v>25.317840961814095</v>
      </c>
      <c r="M215" s="45">
        <v>384.8784911116498</v>
      </c>
      <c r="N215" s="45">
        <f t="shared" si="14"/>
        <v>5998.877920100114</v>
      </c>
      <c r="O215" s="45">
        <v>3515.3938633148673</v>
      </c>
      <c r="P215" s="45">
        <f t="shared" si="15"/>
        <v>86816.9546338031</v>
      </c>
    </row>
    <row r="216" spans="1:16" s="1" customFormat="1" ht="15.75">
      <c r="A216" s="38">
        <v>44741</v>
      </c>
      <c r="B216" s="45">
        <v>31652.565675</v>
      </c>
      <c r="C216" s="45">
        <v>7379.291654</v>
      </c>
      <c r="D216" s="45">
        <v>25.71501</v>
      </c>
      <c r="E216" s="45">
        <f t="shared" si="12"/>
        <v>39057.572339</v>
      </c>
      <c r="F216" s="45"/>
      <c r="G216" s="45">
        <v>46545.983861</v>
      </c>
      <c r="H216" s="45">
        <v>6416.916249</v>
      </c>
      <c r="I216" s="45">
        <v>11151.622809</v>
      </c>
      <c r="J216" s="45">
        <f t="shared" si="13"/>
        <v>64114.522919</v>
      </c>
      <c r="K216" s="45">
        <v>11013.060499</v>
      </c>
      <c r="L216" s="45">
        <v>4.17828</v>
      </c>
      <c r="M216" s="45">
        <v>522.582060085216</v>
      </c>
      <c r="N216" s="45">
        <f t="shared" si="14"/>
        <v>11539.820839085216</v>
      </c>
      <c r="O216" s="45">
        <v>8497.997684</v>
      </c>
      <c r="P216" s="45">
        <f t="shared" si="15"/>
        <v>123209.91378108523</v>
      </c>
    </row>
    <row r="217" spans="1:16" s="1" customFormat="1" ht="15.75">
      <c r="A217" s="38">
        <v>44771</v>
      </c>
      <c r="B217" s="45">
        <v>13314.364652</v>
      </c>
      <c r="C217" s="46">
        <v>9657.188694</v>
      </c>
      <c r="D217" s="45">
        <v>30.44833</v>
      </c>
      <c r="E217" s="46">
        <f t="shared" si="12"/>
        <v>23002.001676</v>
      </c>
      <c r="F217" s="53"/>
      <c r="G217" s="46">
        <v>44602.744014</v>
      </c>
      <c r="H217" s="45">
        <v>7917.9213629999995</v>
      </c>
      <c r="I217" s="46">
        <v>11027.575546</v>
      </c>
      <c r="J217" s="45">
        <f t="shared" si="13"/>
        <v>63548.240923000005</v>
      </c>
      <c r="K217" s="46">
        <v>8929.955427</v>
      </c>
      <c r="L217" s="45">
        <v>20.722909</v>
      </c>
      <c r="M217" s="46">
        <v>739.704797</v>
      </c>
      <c r="N217" s="45">
        <f t="shared" si="14"/>
        <v>9690.383133000001</v>
      </c>
      <c r="O217" s="46">
        <v>6024.030245</v>
      </c>
      <c r="P217" s="46">
        <f t="shared" si="15"/>
        <v>102264.655977</v>
      </c>
    </row>
    <row r="218" spans="1:16" s="1" customFormat="1" ht="15.75">
      <c r="A218" s="38">
        <v>44803</v>
      </c>
      <c r="B218" s="45">
        <v>8089.268413</v>
      </c>
      <c r="C218" s="46">
        <v>10293.68906</v>
      </c>
      <c r="D218" s="45">
        <v>28.293447</v>
      </c>
      <c r="E218" s="46">
        <f t="shared" si="12"/>
        <v>18411.250920000002</v>
      </c>
      <c r="F218" s="53"/>
      <c r="G218" s="46">
        <v>42218.20213</v>
      </c>
      <c r="H218" s="45">
        <v>5052.943628</v>
      </c>
      <c r="I218" s="46">
        <v>11865.306132000002</v>
      </c>
      <c r="J218" s="45">
        <f t="shared" si="13"/>
        <v>59136.45189</v>
      </c>
      <c r="K218" s="46">
        <v>10381.591067</v>
      </c>
      <c r="L218" s="45">
        <v>7.523654</v>
      </c>
      <c r="M218" s="46">
        <v>889.244764</v>
      </c>
      <c r="N218" s="45">
        <f t="shared" si="14"/>
        <v>11278.359485</v>
      </c>
      <c r="O218" s="46">
        <v>7782.511187</v>
      </c>
      <c r="P218" s="46">
        <f t="shared" si="15"/>
        <v>96608.573482</v>
      </c>
    </row>
    <row r="219" spans="1:16" s="1" customFormat="1" ht="15.75">
      <c r="A219" s="38">
        <v>44814</v>
      </c>
      <c r="B219" s="45">
        <v>32280.261116</v>
      </c>
      <c r="C219" s="46">
        <v>8129.983097</v>
      </c>
      <c r="D219" s="45">
        <v>20.2063</v>
      </c>
      <c r="E219" s="46">
        <f t="shared" si="12"/>
        <v>40430.450512999996</v>
      </c>
      <c r="F219" s="53"/>
      <c r="G219" s="46">
        <v>46723.462659</v>
      </c>
      <c r="H219" s="45">
        <v>5648.64932</v>
      </c>
      <c r="I219" s="46">
        <v>12301.317451</v>
      </c>
      <c r="J219" s="45">
        <f t="shared" si="13"/>
        <v>64673.42943</v>
      </c>
      <c r="K219" s="46">
        <v>8316.528748</v>
      </c>
      <c r="L219" s="45">
        <v>2.466858</v>
      </c>
      <c r="M219" s="46">
        <v>785.553867</v>
      </c>
      <c r="N219" s="45">
        <f t="shared" si="14"/>
        <v>9104.549473000001</v>
      </c>
      <c r="O219" s="46">
        <v>7494.572203</v>
      </c>
      <c r="P219" s="46">
        <f t="shared" si="15"/>
        <v>121703.00161899999</v>
      </c>
    </row>
    <row r="220" spans="1:16" s="1" customFormat="1" ht="15.75">
      <c r="A220" s="58" t="s">
        <v>44</v>
      </c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</row>
  </sheetData>
  <sheetProtection/>
  <mergeCells count="9">
    <mergeCell ref="A220:P220"/>
    <mergeCell ref="O5:O6"/>
    <mergeCell ref="P5:P6"/>
    <mergeCell ref="B3:I3"/>
    <mergeCell ref="B5:E5"/>
    <mergeCell ref="F5:F6"/>
    <mergeCell ref="A5:A6"/>
    <mergeCell ref="G5:J5"/>
    <mergeCell ref="K5:N5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70"/>
  <sheetViews>
    <sheetView zoomScalePageLayoutView="0" workbookViewId="0" topLeftCell="A1">
      <pane xSplit="1" ySplit="6" topLeftCell="B6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72" sqref="L72"/>
    </sheetView>
  </sheetViews>
  <sheetFormatPr defaultColWidth="8.88671875" defaultRowHeight="15.75"/>
  <cols>
    <col min="1" max="1" width="30.10546875" style="0" customWidth="1"/>
    <col min="2" max="2" width="12.5546875" style="0" customWidth="1"/>
    <col min="3" max="3" width="11.21484375" style="0" customWidth="1"/>
    <col min="4" max="4" width="11.4453125" style="0" bestFit="1" customWidth="1"/>
    <col min="5" max="5" width="8.88671875" style="0" customWidth="1"/>
    <col min="6" max="6" width="13.10546875" style="0" customWidth="1"/>
    <col min="7" max="7" width="12.77734375" style="0" customWidth="1"/>
    <col min="8" max="8" width="17.6640625" style="0" customWidth="1"/>
    <col min="9" max="9" width="15.10546875" style="0" customWidth="1"/>
    <col min="10" max="10" width="9.4453125" style="0" bestFit="1" customWidth="1"/>
    <col min="11" max="11" width="15.99609375" style="0" customWidth="1"/>
    <col min="12" max="12" width="16.3359375" style="0" customWidth="1"/>
    <col min="13" max="14" width="8.88671875" style="0" customWidth="1"/>
    <col min="15" max="15" width="10.5546875" style="0" customWidth="1"/>
    <col min="16" max="16" width="12.99609375" style="0" customWidth="1"/>
    <col min="17" max="17" width="8.88671875" style="0" customWidth="1"/>
    <col min="18" max="18" width="9.88671875" style="0" customWidth="1"/>
  </cols>
  <sheetData>
    <row r="1" s="22" customFormat="1" ht="18.75">
      <c r="A1" s="31" t="s">
        <v>38</v>
      </c>
    </row>
    <row r="2" s="22" customFormat="1" ht="18.75">
      <c r="F2" s="23"/>
    </row>
    <row r="3" spans="1:16" s="22" customFormat="1" ht="18.75">
      <c r="A3" s="24"/>
      <c r="B3" s="61" t="s">
        <v>39</v>
      </c>
      <c r="C3" s="61"/>
      <c r="D3" s="61"/>
      <c r="E3" s="61"/>
      <c r="F3" s="61"/>
      <c r="G3" s="61"/>
      <c r="H3" s="61"/>
      <c r="I3" s="61"/>
      <c r="J3" s="24"/>
      <c r="K3" s="24"/>
      <c r="L3" s="24"/>
      <c r="M3" s="24"/>
      <c r="N3" s="24"/>
      <c r="O3" s="24"/>
      <c r="P3" s="24"/>
    </row>
    <row r="4" spans="1:16" s="22" customFormat="1" ht="18.75">
      <c r="A4" s="24"/>
      <c r="B4" s="32"/>
      <c r="C4" s="32"/>
      <c r="D4" s="32"/>
      <c r="E4" s="24"/>
      <c r="F4" s="32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s="22" customFormat="1" ht="18.75">
      <c r="A5" s="64" t="s">
        <v>40</v>
      </c>
      <c r="B5" s="62" t="s">
        <v>24</v>
      </c>
      <c r="C5" s="62"/>
      <c r="D5" s="62"/>
      <c r="E5" s="62"/>
      <c r="F5" s="63" t="s">
        <v>28</v>
      </c>
      <c r="G5" s="66" t="s">
        <v>29</v>
      </c>
      <c r="H5" s="67"/>
      <c r="I5" s="67"/>
      <c r="J5" s="68"/>
      <c r="K5" s="66" t="s">
        <v>33</v>
      </c>
      <c r="L5" s="67"/>
      <c r="M5" s="67"/>
      <c r="N5" s="68"/>
      <c r="O5" s="59" t="s">
        <v>41</v>
      </c>
      <c r="P5" s="59" t="s">
        <v>42</v>
      </c>
    </row>
    <row r="6" spans="1:16" s="22" customFormat="1" ht="96.75" customHeight="1">
      <c r="A6" s="65"/>
      <c r="B6" s="40" t="s">
        <v>25</v>
      </c>
      <c r="C6" s="41" t="s">
        <v>26</v>
      </c>
      <c r="D6" s="40" t="s">
        <v>27</v>
      </c>
      <c r="E6" s="40" t="s">
        <v>2</v>
      </c>
      <c r="F6" s="59"/>
      <c r="G6" s="41" t="s">
        <v>30</v>
      </c>
      <c r="H6" s="41" t="s">
        <v>31</v>
      </c>
      <c r="I6" s="42" t="s">
        <v>32</v>
      </c>
      <c r="J6" s="43" t="s">
        <v>2</v>
      </c>
      <c r="K6" s="43" t="s">
        <v>34</v>
      </c>
      <c r="L6" s="43" t="s">
        <v>35</v>
      </c>
      <c r="M6" s="42" t="s">
        <v>36</v>
      </c>
      <c r="N6" s="40" t="s">
        <v>2</v>
      </c>
      <c r="O6" s="60"/>
      <c r="P6" s="60"/>
    </row>
    <row r="7" spans="1:16" ht="18">
      <c r="A7" s="38" t="s">
        <v>45</v>
      </c>
      <c r="B7" s="3">
        <v>12638.3</v>
      </c>
      <c r="C7" s="3">
        <v>7060.3</v>
      </c>
      <c r="D7" s="3">
        <v>216.89999999999998</v>
      </c>
      <c r="E7" s="3">
        <v>19915.5</v>
      </c>
      <c r="F7" s="3">
        <v>6.2</v>
      </c>
      <c r="G7" s="3">
        <v>13747.000000000002</v>
      </c>
      <c r="H7" s="3">
        <v>475.8</v>
      </c>
      <c r="I7" s="3">
        <v>6821.4</v>
      </c>
      <c r="J7" s="3">
        <v>21044.2</v>
      </c>
      <c r="K7" s="3">
        <v>5641.5</v>
      </c>
      <c r="L7" s="3">
        <v>46</v>
      </c>
      <c r="M7" s="3">
        <v>3.3000000000000003</v>
      </c>
      <c r="N7" s="3">
        <v>5690.799999999999</v>
      </c>
      <c r="O7" s="3">
        <v>1928.3999999999999</v>
      </c>
      <c r="P7" s="3">
        <v>48585.100000000006</v>
      </c>
    </row>
    <row r="8" spans="1:16" ht="18">
      <c r="A8" s="38" t="s">
        <v>46</v>
      </c>
      <c r="B8" s="3">
        <v>5104.200000000001</v>
      </c>
      <c r="C8" s="3">
        <v>5623.799999999999</v>
      </c>
      <c r="D8" s="3">
        <v>169.60000000000002</v>
      </c>
      <c r="E8" s="3">
        <v>10897.599999999999</v>
      </c>
      <c r="F8" s="3">
        <v>0</v>
      </c>
      <c r="G8" s="3">
        <v>14491.9</v>
      </c>
      <c r="H8" s="3">
        <v>463.3</v>
      </c>
      <c r="I8" s="3">
        <v>6800.2</v>
      </c>
      <c r="J8" s="3">
        <v>21755.4</v>
      </c>
      <c r="K8" s="3">
        <v>6506.7</v>
      </c>
      <c r="L8" s="3">
        <v>22.4</v>
      </c>
      <c r="M8" s="3">
        <v>11.3</v>
      </c>
      <c r="N8" s="3">
        <v>6540.4</v>
      </c>
      <c r="O8" s="3">
        <v>2916.8</v>
      </c>
      <c r="P8" s="3">
        <v>42110.2</v>
      </c>
    </row>
    <row r="9" spans="1:16" ht="18">
      <c r="A9" s="38" t="s">
        <v>47</v>
      </c>
      <c r="B9" s="3">
        <v>4070.8</v>
      </c>
      <c r="C9" s="3">
        <v>5534.7</v>
      </c>
      <c r="D9" s="3">
        <v>256.5</v>
      </c>
      <c r="E9" s="3">
        <v>9862</v>
      </c>
      <c r="F9" s="3">
        <v>0</v>
      </c>
      <c r="G9" s="3">
        <v>15615.800000000001</v>
      </c>
      <c r="H9" s="3">
        <v>521.3</v>
      </c>
      <c r="I9" s="3">
        <v>8644.8</v>
      </c>
      <c r="J9" s="3">
        <v>24781.9</v>
      </c>
      <c r="K9" s="3">
        <v>6428.400000000001</v>
      </c>
      <c r="L9" s="3">
        <v>20.7</v>
      </c>
      <c r="M9" s="3">
        <v>0.1</v>
      </c>
      <c r="N9" s="3">
        <v>6449.200000000001</v>
      </c>
      <c r="O9" s="3">
        <v>3936.3</v>
      </c>
      <c r="P9" s="3">
        <v>45029.399999999994</v>
      </c>
    </row>
    <row r="10" spans="1:16" ht="18">
      <c r="A10" s="38" t="s">
        <v>48</v>
      </c>
      <c r="B10" s="3">
        <v>6167.3</v>
      </c>
      <c r="C10" s="3">
        <v>5891.2</v>
      </c>
      <c r="D10" s="3">
        <v>345.9</v>
      </c>
      <c r="E10" s="3">
        <v>12404.4</v>
      </c>
      <c r="F10" s="3">
        <v>0</v>
      </c>
      <c r="G10" s="3">
        <v>16581</v>
      </c>
      <c r="H10" s="3">
        <v>460.40000000000003</v>
      </c>
      <c r="I10" s="3">
        <v>7925.1</v>
      </c>
      <c r="J10" s="3">
        <v>24966.500000000004</v>
      </c>
      <c r="K10" s="3">
        <v>5976.4</v>
      </c>
      <c r="L10" s="3">
        <v>10.1</v>
      </c>
      <c r="M10" s="3">
        <v>0</v>
      </c>
      <c r="N10" s="3">
        <v>5986.5</v>
      </c>
      <c r="O10" s="3">
        <v>6625.1</v>
      </c>
      <c r="P10" s="3">
        <v>49982.50000000001</v>
      </c>
    </row>
    <row r="11" spans="1:16" ht="18">
      <c r="A11" s="38" t="s">
        <v>49</v>
      </c>
      <c r="B11" s="3">
        <v>14358.4</v>
      </c>
      <c r="C11" s="3">
        <v>9070.1</v>
      </c>
      <c r="D11" s="3">
        <v>208.5</v>
      </c>
      <c r="E11" s="3">
        <v>23637</v>
      </c>
      <c r="F11" s="3">
        <v>277.3</v>
      </c>
      <c r="G11" s="3">
        <v>16954.1</v>
      </c>
      <c r="H11" s="3">
        <v>0</v>
      </c>
      <c r="I11" s="3">
        <v>9048.3</v>
      </c>
      <c r="J11" s="3">
        <v>26002.399999999998</v>
      </c>
      <c r="K11" s="3">
        <v>6406.9</v>
      </c>
      <c r="L11" s="3">
        <v>262.8</v>
      </c>
      <c r="M11" s="3">
        <v>0.2</v>
      </c>
      <c r="N11" s="3">
        <v>6669.900000000001</v>
      </c>
      <c r="O11" s="3">
        <v>4983</v>
      </c>
      <c r="P11" s="3">
        <v>61569.6</v>
      </c>
    </row>
    <row r="12" spans="1:16" ht="18">
      <c r="A12" s="38" t="s">
        <v>50</v>
      </c>
      <c r="B12" s="3">
        <v>7889.9</v>
      </c>
      <c r="C12" s="3">
        <v>6750.6</v>
      </c>
      <c r="D12" s="3">
        <v>355.1</v>
      </c>
      <c r="E12" s="3">
        <v>14995.599999999999</v>
      </c>
      <c r="F12" s="3">
        <v>77.5</v>
      </c>
      <c r="G12" s="3">
        <v>21443.1</v>
      </c>
      <c r="H12" s="3">
        <v>973.6</v>
      </c>
      <c r="I12" s="3">
        <v>9074.7</v>
      </c>
      <c r="J12" s="3">
        <v>31491.399999999998</v>
      </c>
      <c r="K12" s="3">
        <v>8772.4</v>
      </c>
      <c r="L12" s="3">
        <v>816.5000000000001</v>
      </c>
      <c r="M12" s="3">
        <v>0.2</v>
      </c>
      <c r="N12" s="3">
        <v>9589.1</v>
      </c>
      <c r="O12" s="3">
        <v>6254.5</v>
      </c>
      <c r="P12" s="3">
        <v>62408.100000000006</v>
      </c>
    </row>
    <row r="13" spans="1:16" ht="18">
      <c r="A13" s="38" t="s">
        <v>51</v>
      </c>
      <c r="B13" s="3">
        <v>3528.7</v>
      </c>
      <c r="C13" s="3">
        <v>6578.599999999999</v>
      </c>
      <c r="D13" s="3">
        <v>288.5</v>
      </c>
      <c r="E13" s="3">
        <v>10395.8</v>
      </c>
      <c r="F13" s="3">
        <v>17.8</v>
      </c>
      <c r="G13" s="3">
        <v>15816.1</v>
      </c>
      <c r="H13" s="3">
        <v>714.6</v>
      </c>
      <c r="I13" s="3">
        <v>12309.900000000001</v>
      </c>
      <c r="J13" s="3">
        <v>28840.600000000002</v>
      </c>
      <c r="K13" s="3">
        <v>8304.1</v>
      </c>
      <c r="L13" s="3">
        <v>407.79999999999995</v>
      </c>
      <c r="M13" s="3">
        <v>0.1</v>
      </c>
      <c r="N13" s="3">
        <v>8712</v>
      </c>
      <c r="O13" s="3">
        <v>3843.5</v>
      </c>
      <c r="P13" s="3">
        <v>51809.700000000004</v>
      </c>
    </row>
    <row r="14" spans="1:16" ht="18">
      <c r="A14" s="38" t="s">
        <v>52</v>
      </c>
      <c r="B14" s="3">
        <v>9779.900000000001</v>
      </c>
      <c r="C14" s="3">
        <v>7873.400000000001</v>
      </c>
      <c r="D14" s="3">
        <v>148.9</v>
      </c>
      <c r="E14" s="3">
        <v>17802.2</v>
      </c>
      <c r="F14" s="3">
        <v>8.8</v>
      </c>
      <c r="G14" s="3">
        <v>18985.8</v>
      </c>
      <c r="H14" s="3">
        <v>783.9000000000001</v>
      </c>
      <c r="I14" s="3">
        <v>11144.199999999999</v>
      </c>
      <c r="J14" s="3">
        <v>30913.899999999994</v>
      </c>
      <c r="K14" s="3">
        <v>8564.3</v>
      </c>
      <c r="L14" s="3">
        <v>393.5</v>
      </c>
      <c r="M14" s="3">
        <v>0.2</v>
      </c>
      <c r="N14" s="3">
        <v>8958</v>
      </c>
      <c r="O14" s="3">
        <v>3625.2</v>
      </c>
      <c r="P14" s="3">
        <v>61308.100000000006</v>
      </c>
    </row>
    <row r="15" spans="1:16" ht="18">
      <c r="A15" s="38" t="s">
        <v>53</v>
      </c>
      <c r="B15" s="3">
        <v>21282.9</v>
      </c>
      <c r="C15" s="3">
        <v>8450.1</v>
      </c>
      <c r="D15" s="3">
        <v>1647.8</v>
      </c>
      <c r="E15" s="3">
        <v>31380.800000000003</v>
      </c>
      <c r="F15" s="3">
        <v>1004.0999999999999</v>
      </c>
      <c r="G15" s="3">
        <v>19624.1</v>
      </c>
      <c r="H15" s="3">
        <v>713</v>
      </c>
      <c r="I15" s="3">
        <v>11146.7</v>
      </c>
      <c r="J15" s="3">
        <v>31483.8</v>
      </c>
      <c r="K15" s="3">
        <v>9723.7</v>
      </c>
      <c r="L15" s="3">
        <v>486.59999999999997</v>
      </c>
      <c r="M15" s="3">
        <v>0.6000000000000001</v>
      </c>
      <c r="N15" s="3">
        <v>10210.899999999998</v>
      </c>
      <c r="O15" s="3">
        <v>5651.3</v>
      </c>
      <c r="P15" s="3">
        <v>79730.90000000001</v>
      </c>
    </row>
    <row r="16" spans="1:16" ht="18">
      <c r="A16" s="38" t="s">
        <v>54</v>
      </c>
      <c r="B16" s="3">
        <v>6010.9</v>
      </c>
      <c r="C16" s="3">
        <v>9759.300000000001</v>
      </c>
      <c r="D16" s="3">
        <v>1858.1999999999998</v>
      </c>
      <c r="E16" s="3">
        <v>17628.4</v>
      </c>
      <c r="F16" s="3">
        <v>462.79999999999995</v>
      </c>
      <c r="G16" s="3">
        <v>18074.5</v>
      </c>
      <c r="H16" s="3">
        <v>1347.1</v>
      </c>
      <c r="I16" s="3">
        <v>11820</v>
      </c>
      <c r="J16" s="3">
        <v>31241.6</v>
      </c>
      <c r="K16" s="3">
        <v>7781.9</v>
      </c>
      <c r="L16" s="3">
        <v>638.7</v>
      </c>
      <c r="M16" s="3">
        <v>0.30000000000000004</v>
      </c>
      <c r="N16" s="3">
        <v>8420.900000000001</v>
      </c>
      <c r="O16" s="3">
        <v>6735.6</v>
      </c>
      <c r="P16" s="3">
        <v>64489.299999999996</v>
      </c>
    </row>
    <row r="17" spans="1:16" ht="18">
      <c r="A17" s="38" t="s">
        <v>55</v>
      </c>
      <c r="B17" s="3">
        <v>1229.6</v>
      </c>
      <c r="C17" s="3">
        <v>6480.3</v>
      </c>
      <c r="D17" s="3">
        <v>1955.8</v>
      </c>
      <c r="E17" s="3">
        <v>9665.7</v>
      </c>
      <c r="F17" s="3">
        <v>315.5</v>
      </c>
      <c r="G17" s="3">
        <v>28817.5</v>
      </c>
      <c r="H17" s="3">
        <v>2490.8999999999996</v>
      </c>
      <c r="I17" s="3">
        <v>11003.400000000001</v>
      </c>
      <c r="J17" s="3">
        <v>42311.8</v>
      </c>
      <c r="K17" s="3">
        <v>5031.799999999999</v>
      </c>
      <c r="L17" s="3">
        <v>159.1</v>
      </c>
      <c r="M17" s="3">
        <v>0.2</v>
      </c>
      <c r="N17" s="3">
        <v>5191.099999999999</v>
      </c>
      <c r="O17" s="3">
        <v>7483.4</v>
      </c>
      <c r="P17" s="3">
        <v>64967.5</v>
      </c>
    </row>
    <row r="18" spans="1:16" ht="18">
      <c r="A18" s="38" t="s">
        <v>56</v>
      </c>
      <c r="B18" s="3">
        <v>11779.099999999999</v>
      </c>
      <c r="C18" s="3">
        <v>7669.999999999999</v>
      </c>
      <c r="D18" s="3">
        <v>2460.1</v>
      </c>
      <c r="E18" s="3">
        <v>21909.2</v>
      </c>
      <c r="F18" s="3">
        <v>524.3000000000001</v>
      </c>
      <c r="G18" s="3">
        <v>29935.7</v>
      </c>
      <c r="H18" s="3">
        <v>4916.4</v>
      </c>
      <c r="I18" s="3">
        <v>7634.880000000001</v>
      </c>
      <c r="J18" s="3">
        <v>42486.979999999996</v>
      </c>
      <c r="K18" s="3">
        <v>5325.6</v>
      </c>
      <c r="L18" s="3">
        <v>171.7</v>
      </c>
      <c r="M18" s="3">
        <v>0.5</v>
      </c>
      <c r="N18" s="3">
        <v>5497.8</v>
      </c>
      <c r="O18" s="3">
        <v>9417.3</v>
      </c>
      <c r="P18" s="3">
        <v>79835.58</v>
      </c>
    </row>
    <row r="19" spans="1:16" ht="18">
      <c r="A19" s="38" t="s">
        <v>57</v>
      </c>
      <c r="B19" s="3">
        <v>24229.4</v>
      </c>
      <c r="C19" s="3">
        <v>16050.099999999999</v>
      </c>
      <c r="D19" s="3">
        <v>244.7</v>
      </c>
      <c r="E19" s="3">
        <v>40524.2</v>
      </c>
      <c r="F19" s="3">
        <v>0</v>
      </c>
      <c r="G19" s="3">
        <v>28543.9</v>
      </c>
      <c r="H19" s="3">
        <v>3909.1</v>
      </c>
      <c r="I19" s="3">
        <v>11430.7</v>
      </c>
      <c r="J19" s="3">
        <v>43883.7</v>
      </c>
      <c r="K19" s="3">
        <v>4900.8</v>
      </c>
      <c r="L19" s="3">
        <v>148.2</v>
      </c>
      <c r="M19" s="3">
        <v>1041.6</v>
      </c>
      <c r="N19" s="3">
        <v>6090.6</v>
      </c>
      <c r="O19" s="3">
        <v>3770.4000000000005</v>
      </c>
      <c r="P19" s="3">
        <v>94268.9</v>
      </c>
    </row>
    <row r="20" spans="1:16" ht="18">
      <c r="A20" s="38" t="s">
        <v>58</v>
      </c>
      <c r="B20" s="3">
        <v>7003.299999999999</v>
      </c>
      <c r="C20" s="3">
        <v>10246</v>
      </c>
      <c r="D20" s="3">
        <v>200.5</v>
      </c>
      <c r="E20" s="3">
        <v>17449.8</v>
      </c>
      <c r="F20" s="3">
        <v>0</v>
      </c>
      <c r="G20" s="3">
        <v>29884.699999999997</v>
      </c>
      <c r="H20" s="3">
        <v>3272</v>
      </c>
      <c r="I20" s="3">
        <v>9862.9</v>
      </c>
      <c r="J20" s="3">
        <v>43019.6</v>
      </c>
      <c r="K20" s="3">
        <v>7286.9</v>
      </c>
      <c r="L20" s="3">
        <v>20.599999999999998</v>
      </c>
      <c r="M20" s="3">
        <v>996.8</v>
      </c>
      <c r="N20" s="3">
        <v>8304.3</v>
      </c>
      <c r="O20" s="3">
        <v>3053.6400000000003</v>
      </c>
      <c r="P20" s="3">
        <v>71827.34</v>
      </c>
    </row>
    <row r="21" spans="1:16" ht="18">
      <c r="A21" s="38" t="s">
        <v>59</v>
      </c>
      <c r="B21" s="3">
        <v>8096.8</v>
      </c>
      <c r="C21" s="3">
        <v>12855.5</v>
      </c>
      <c r="D21" s="3">
        <v>813.6</v>
      </c>
      <c r="E21" s="3">
        <v>21765.9</v>
      </c>
      <c r="F21" s="3">
        <v>0</v>
      </c>
      <c r="G21" s="3">
        <v>35453.5</v>
      </c>
      <c r="H21" s="3">
        <v>3734.5</v>
      </c>
      <c r="I21" s="3">
        <v>12061.2</v>
      </c>
      <c r="J21" s="3">
        <v>51249.2</v>
      </c>
      <c r="K21" s="3">
        <v>9210.4</v>
      </c>
      <c r="L21" s="3">
        <v>23.2</v>
      </c>
      <c r="M21" s="3">
        <v>979.8</v>
      </c>
      <c r="N21" s="3">
        <v>10213.4</v>
      </c>
      <c r="O21" s="3">
        <v>6869.9</v>
      </c>
      <c r="P21" s="3">
        <v>90098.4</v>
      </c>
    </row>
    <row r="22" spans="1:16" ht="18">
      <c r="A22" s="38" t="s">
        <v>60</v>
      </c>
      <c r="B22" s="3">
        <v>17434.100000000002</v>
      </c>
      <c r="C22" s="3">
        <v>16172.9</v>
      </c>
      <c r="D22" s="3">
        <v>1011.8100000000001</v>
      </c>
      <c r="E22" s="3">
        <v>34618.81</v>
      </c>
      <c r="F22" s="3">
        <v>0</v>
      </c>
      <c r="G22" s="3">
        <v>37915.3</v>
      </c>
      <c r="H22" s="3">
        <v>4838.6</v>
      </c>
      <c r="I22" s="3">
        <v>14223.1</v>
      </c>
      <c r="J22" s="3">
        <v>56977</v>
      </c>
      <c r="K22" s="3">
        <v>11372.400000000001</v>
      </c>
      <c r="L22" s="3">
        <v>24.8</v>
      </c>
      <c r="M22" s="3">
        <v>1135.4</v>
      </c>
      <c r="N22" s="3">
        <v>12532.599999999999</v>
      </c>
      <c r="O22" s="3">
        <v>2764.4</v>
      </c>
      <c r="P22" s="3">
        <v>106892.81</v>
      </c>
    </row>
    <row r="23" spans="1:16" ht="18">
      <c r="A23" s="38" t="s">
        <v>61</v>
      </c>
      <c r="B23" s="3">
        <v>35715.951</v>
      </c>
      <c r="C23" s="3">
        <v>13662.888</v>
      </c>
      <c r="D23" s="3">
        <v>125.07499999999999</v>
      </c>
      <c r="E23" s="3">
        <v>49503.914000000004</v>
      </c>
      <c r="F23" s="3">
        <v>0</v>
      </c>
      <c r="G23" s="3">
        <v>39222.358</v>
      </c>
      <c r="H23" s="3">
        <v>5181.295</v>
      </c>
      <c r="I23" s="3">
        <v>11367.865</v>
      </c>
      <c r="J23" s="3">
        <v>55771.518</v>
      </c>
      <c r="K23" s="3">
        <v>11000.779999999999</v>
      </c>
      <c r="L23" s="3">
        <v>14.277000000000001</v>
      </c>
      <c r="M23" s="3">
        <v>1117.432</v>
      </c>
      <c r="N23" s="3">
        <v>12132.489000000001</v>
      </c>
      <c r="O23" s="3">
        <v>880.172</v>
      </c>
      <c r="P23" s="3">
        <v>118288.093</v>
      </c>
    </row>
    <row r="24" spans="1:16" ht="18">
      <c r="A24" s="38" t="s">
        <v>62</v>
      </c>
      <c r="B24" s="3">
        <v>7597.251</v>
      </c>
      <c r="C24" s="3">
        <v>12880.151999999998</v>
      </c>
      <c r="D24" s="3">
        <v>174.389</v>
      </c>
      <c r="E24" s="3">
        <v>20651.792</v>
      </c>
      <c r="F24" s="3">
        <v>0</v>
      </c>
      <c r="G24" s="3">
        <v>40324.054000000004</v>
      </c>
      <c r="H24" s="3">
        <v>4594.833</v>
      </c>
      <c r="I24" s="3">
        <v>12817.05</v>
      </c>
      <c r="J24" s="3">
        <v>57735.937000000005</v>
      </c>
      <c r="K24" s="3">
        <v>11994.07</v>
      </c>
      <c r="L24" s="3">
        <v>25.052</v>
      </c>
      <c r="M24" s="3">
        <v>1023.733</v>
      </c>
      <c r="N24" s="3">
        <v>13042.855</v>
      </c>
      <c r="O24" s="3">
        <v>15503.953</v>
      </c>
      <c r="P24" s="3">
        <v>106934.53700000001</v>
      </c>
    </row>
    <row r="25" spans="1:16" ht="18">
      <c r="A25" s="38" t="s">
        <v>63</v>
      </c>
      <c r="B25" s="3">
        <v>6668.139</v>
      </c>
      <c r="C25" s="3">
        <v>12560.688</v>
      </c>
      <c r="D25" s="3">
        <v>163.03</v>
      </c>
      <c r="E25" s="3">
        <v>19391.856999999996</v>
      </c>
      <c r="F25" s="3">
        <v>0</v>
      </c>
      <c r="G25" s="3">
        <v>49553.546</v>
      </c>
      <c r="H25" s="3">
        <v>4579.697</v>
      </c>
      <c r="I25" s="3">
        <v>14589.64</v>
      </c>
      <c r="J25" s="3">
        <v>68722.883</v>
      </c>
      <c r="K25" s="3">
        <v>12481.053</v>
      </c>
      <c r="L25" s="3">
        <v>54.791</v>
      </c>
      <c r="M25" s="3">
        <v>1578.5010000000002</v>
      </c>
      <c r="N25" s="3">
        <v>14114.345000000001</v>
      </c>
      <c r="O25" s="3">
        <v>375.485</v>
      </c>
      <c r="P25" s="3">
        <v>102604.57</v>
      </c>
    </row>
    <row r="26" spans="1:16" ht="18">
      <c r="A26" s="38" t="s">
        <v>64</v>
      </c>
      <c r="B26" s="3">
        <v>20646.139000000003</v>
      </c>
      <c r="C26" s="3">
        <v>13703.831999999999</v>
      </c>
      <c r="D26" s="3">
        <v>74.4</v>
      </c>
      <c r="E26" s="3">
        <v>34424.371</v>
      </c>
      <c r="F26" s="3">
        <v>0</v>
      </c>
      <c r="G26" s="3">
        <v>48227.47900000001</v>
      </c>
      <c r="H26" s="3">
        <v>4118.125</v>
      </c>
      <c r="I26" s="3">
        <v>11338.817</v>
      </c>
      <c r="J26" s="3">
        <v>63684.421</v>
      </c>
      <c r="K26" s="3">
        <v>13353.807</v>
      </c>
      <c r="L26" s="3">
        <v>67.869</v>
      </c>
      <c r="M26" s="3">
        <v>1229.051</v>
      </c>
      <c r="N26" s="3">
        <v>14650.727000000003</v>
      </c>
      <c r="O26" s="3">
        <v>387.676</v>
      </c>
      <c r="P26" s="3">
        <v>113147.195</v>
      </c>
    </row>
    <row r="27" spans="1:16" ht="18">
      <c r="A27" s="38" t="s">
        <v>65</v>
      </c>
      <c r="B27" s="3">
        <v>41039.630000000005</v>
      </c>
      <c r="C27" s="3">
        <v>18459.551</v>
      </c>
      <c r="D27" s="3">
        <v>62.05</v>
      </c>
      <c r="E27" s="3">
        <v>59561.231</v>
      </c>
      <c r="F27" s="3">
        <v>0</v>
      </c>
      <c r="G27" s="3">
        <v>47863.489</v>
      </c>
      <c r="H27" s="3">
        <v>3065.2009999999996</v>
      </c>
      <c r="I27" s="3">
        <v>12425.317600000002</v>
      </c>
      <c r="J27" s="3">
        <v>63354.0076</v>
      </c>
      <c r="K27" s="3">
        <v>11278.990999999998</v>
      </c>
      <c r="L27" s="3">
        <v>39.974</v>
      </c>
      <c r="M27" s="3">
        <v>1355.515</v>
      </c>
      <c r="N27" s="3">
        <v>12674.48</v>
      </c>
      <c r="O27" s="3">
        <v>1884.656</v>
      </c>
      <c r="P27" s="3">
        <v>137474.3746</v>
      </c>
    </row>
    <row r="28" spans="1:16" ht="18">
      <c r="A28" s="38" t="s">
        <v>66</v>
      </c>
      <c r="B28" s="3">
        <v>9474.807</v>
      </c>
      <c r="C28" s="3">
        <v>17219.975</v>
      </c>
      <c r="D28" s="3">
        <v>63.462</v>
      </c>
      <c r="E28" s="3">
        <v>26758.244000000002</v>
      </c>
      <c r="F28" s="3">
        <v>0</v>
      </c>
      <c r="G28" s="3">
        <v>48674.67140400001</v>
      </c>
      <c r="H28" s="3">
        <v>1324.5865430000001</v>
      </c>
      <c r="I28" s="3">
        <v>13351.464123</v>
      </c>
      <c r="J28" s="3">
        <v>63350.72207</v>
      </c>
      <c r="K28" s="3">
        <v>10612.901788</v>
      </c>
      <c r="L28" s="3">
        <v>7.0098</v>
      </c>
      <c r="M28" s="3">
        <v>1153.0943659999998</v>
      </c>
      <c r="N28" s="3">
        <v>11773.005954</v>
      </c>
      <c r="O28" s="3">
        <v>1222.053576</v>
      </c>
      <c r="P28" s="3">
        <v>103104.0256</v>
      </c>
    </row>
    <row r="29" spans="1:16" ht="18">
      <c r="A29" s="38" t="s">
        <v>67</v>
      </c>
      <c r="B29" s="3">
        <v>8059.9169999999995</v>
      </c>
      <c r="C29" s="3">
        <v>16189.54</v>
      </c>
      <c r="D29" s="3">
        <v>34.787</v>
      </c>
      <c r="E29" s="3">
        <v>24284.244</v>
      </c>
      <c r="F29" s="3">
        <v>0</v>
      </c>
      <c r="G29" s="3">
        <v>54361.687000000005</v>
      </c>
      <c r="H29" s="3">
        <v>1419.5030000000002</v>
      </c>
      <c r="I29" s="3">
        <v>22977.073</v>
      </c>
      <c r="J29" s="3">
        <v>78758.263</v>
      </c>
      <c r="K29" s="3">
        <v>10923.82</v>
      </c>
      <c r="L29" s="3">
        <v>1.418</v>
      </c>
      <c r="M29" s="3">
        <v>1366.06</v>
      </c>
      <c r="N29" s="3">
        <v>12291.298</v>
      </c>
      <c r="O29" s="3">
        <v>2608.9139999999998</v>
      </c>
      <c r="P29" s="3">
        <v>117942.71900000001</v>
      </c>
    </row>
    <row r="30" spans="1:16" ht="18">
      <c r="A30" s="38" t="s">
        <v>68</v>
      </c>
      <c r="B30" s="3">
        <v>23956.609959</v>
      </c>
      <c r="C30" s="3">
        <v>21013.774462999998</v>
      </c>
      <c r="D30" s="3">
        <v>335.03907</v>
      </c>
      <c r="E30" s="3">
        <v>45305.423491999994</v>
      </c>
      <c r="F30" s="3">
        <v>0</v>
      </c>
      <c r="G30" s="3">
        <v>50528.896742000004</v>
      </c>
      <c r="H30" s="3">
        <v>1215.181071</v>
      </c>
      <c r="I30" s="3">
        <v>19499.405983</v>
      </c>
      <c r="J30" s="3">
        <v>71243.483796</v>
      </c>
      <c r="K30" s="3">
        <v>10907.490276999999</v>
      </c>
      <c r="L30" s="3">
        <v>118.400848</v>
      </c>
      <c r="M30" s="3">
        <v>2057.245826</v>
      </c>
      <c r="N30" s="3">
        <v>13083.136951</v>
      </c>
      <c r="O30" s="3">
        <v>3725.6503380000004</v>
      </c>
      <c r="P30" s="3">
        <v>133357.694577</v>
      </c>
    </row>
    <row r="31" spans="1:16" ht="18">
      <c r="A31" s="38" t="s">
        <v>69</v>
      </c>
      <c r="B31" s="3">
        <v>34560.031569</v>
      </c>
      <c r="C31" s="3">
        <v>15159.449360999999</v>
      </c>
      <c r="D31" s="3">
        <v>184.643371</v>
      </c>
      <c r="E31" s="3">
        <v>49904.124301</v>
      </c>
      <c r="F31" s="3">
        <v>0</v>
      </c>
      <c r="G31" s="3">
        <v>46975.088551</v>
      </c>
      <c r="H31" s="3">
        <v>1063.598657</v>
      </c>
      <c r="I31" s="3">
        <v>20819.197285000002</v>
      </c>
      <c r="J31" s="3">
        <v>68857.884493</v>
      </c>
      <c r="K31" s="3">
        <v>9060.107731</v>
      </c>
      <c r="L31" s="3">
        <v>120.756285</v>
      </c>
      <c r="M31" s="3">
        <v>1488.337259</v>
      </c>
      <c r="N31" s="3">
        <v>10669.201275</v>
      </c>
      <c r="O31" s="3">
        <v>4410.50669</v>
      </c>
      <c r="P31" s="3">
        <v>133841.716759</v>
      </c>
    </row>
    <row r="32" spans="1:16" ht="18">
      <c r="A32" s="38" t="s">
        <v>70</v>
      </c>
      <c r="B32" s="3">
        <v>21219.733088</v>
      </c>
      <c r="C32" s="3">
        <v>11230.122152</v>
      </c>
      <c r="D32" s="3">
        <v>123.33199099999999</v>
      </c>
      <c r="E32" s="3">
        <v>32573.187231</v>
      </c>
      <c r="F32" s="3">
        <v>0</v>
      </c>
      <c r="G32" s="3">
        <v>50397.05314</v>
      </c>
      <c r="H32" s="3">
        <v>1100.286458</v>
      </c>
      <c r="I32" s="3">
        <v>21128.681204</v>
      </c>
      <c r="J32" s="3">
        <v>72626.020802</v>
      </c>
      <c r="K32" s="3">
        <v>10655.188616</v>
      </c>
      <c r="L32" s="3">
        <v>142.98613699999999</v>
      </c>
      <c r="M32" s="3">
        <v>1411.933424</v>
      </c>
      <c r="N32" s="3">
        <v>12210.108177</v>
      </c>
      <c r="O32" s="3">
        <v>3960.263215</v>
      </c>
      <c r="P32" s="3">
        <v>121369.579425</v>
      </c>
    </row>
    <row r="33" spans="1:16" ht="18">
      <c r="A33" s="38" t="s">
        <v>71</v>
      </c>
      <c r="B33" s="3">
        <v>20025.69408</v>
      </c>
      <c r="C33" s="3">
        <v>10655.525725</v>
      </c>
      <c r="D33" s="3">
        <v>81.092233</v>
      </c>
      <c r="E33" s="3">
        <v>30762.312037999996</v>
      </c>
      <c r="F33" s="3">
        <v>0</v>
      </c>
      <c r="G33" s="3">
        <v>60702.345874</v>
      </c>
      <c r="H33" s="3">
        <v>3055.362158</v>
      </c>
      <c r="I33" s="3">
        <v>24382.387673</v>
      </c>
      <c r="J33" s="3">
        <v>88140.09570500001</v>
      </c>
      <c r="K33" s="3">
        <v>11680.309786</v>
      </c>
      <c r="L33" s="3">
        <v>367.050034</v>
      </c>
      <c r="M33" s="3">
        <v>3201.516713</v>
      </c>
      <c r="N33" s="3">
        <v>15248.876533</v>
      </c>
      <c r="O33" s="3">
        <v>6108.270947000001</v>
      </c>
      <c r="P33" s="3">
        <v>140259.555223</v>
      </c>
    </row>
    <row r="34" spans="1:16" ht="18">
      <c r="A34" s="38" t="s">
        <v>72</v>
      </c>
      <c r="B34" s="3">
        <v>16640.7</v>
      </c>
      <c r="C34" s="3">
        <v>16063.4</v>
      </c>
      <c r="D34" s="3">
        <v>71.15179</v>
      </c>
      <c r="E34" s="3">
        <v>32775.251789999995</v>
      </c>
      <c r="F34" s="3">
        <v>0</v>
      </c>
      <c r="G34" s="3">
        <v>52927.634173</v>
      </c>
      <c r="H34" s="3">
        <v>1850.7</v>
      </c>
      <c r="I34" s="3">
        <v>21229.35189</v>
      </c>
      <c r="J34" s="3">
        <v>76007.686063</v>
      </c>
      <c r="K34" s="3">
        <v>11043.75</v>
      </c>
      <c r="L34" s="3">
        <v>144.16997</v>
      </c>
      <c r="M34" s="3">
        <v>1618.071007</v>
      </c>
      <c r="N34" s="3">
        <v>12805.990977</v>
      </c>
      <c r="O34" s="3">
        <v>7479.707627000001</v>
      </c>
      <c r="P34" s="3">
        <v>129068.636457</v>
      </c>
    </row>
    <row r="35" spans="1:16" ht="18">
      <c r="A35" s="38" t="s">
        <v>73</v>
      </c>
      <c r="B35" s="3">
        <v>8833.723152</v>
      </c>
      <c r="C35" s="3">
        <v>17943.288231</v>
      </c>
      <c r="D35" s="3">
        <v>298.7201</v>
      </c>
      <c r="E35" s="3">
        <v>27075.731483000003</v>
      </c>
      <c r="F35" s="3">
        <v>0</v>
      </c>
      <c r="G35" s="3">
        <v>53751.449166</v>
      </c>
      <c r="H35" s="3">
        <v>3534.3317930000003</v>
      </c>
      <c r="I35" s="3">
        <v>21734.328226</v>
      </c>
      <c r="J35" s="3">
        <v>79020.10918500001</v>
      </c>
      <c r="K35" s="3">
        <v>10578.58038</v>
      </c>
      <c r="L35" s="3">
        <v>52.239222999999996</v>
      </c>
      <c r="M35" s="3">
        <v>1693.131717</v>
      </c>
      <c r="N35" s="3">
        <v>12323.95132</v>
      </c>
      <c r="O35" s="3">
        <v>7473.252331000001</v>
      </c>
      <c r="P35" s="3">
        <v>125893.04431900001</v>
      </c>
    </row>
    <row r="36" spans="1:16" ht="18">
      <c r="A36" s="38" t="s">
        <v>74</v>
      </c>
      <c r="B36" s="3">
        <v>18948.183860999998</v>
      </c>
      <c r="C36" s="3">
        <v>12979.476999999999</v>
      </c>
      <c r="D36" s="3">
        <v>99.53</v>
      </c>
      <c r="E36" s="3">
        <v>32027.190861</v>
      </c>
      <c r="F36" s="3">
        <v>0</v>
      </c>
      <c r="G36" s="3">
        <v>57777.299999999996</v>
      </c>
      <c r="H36" s="3">
        <v>3646</v>
      </c>
      <c r="I36" s="3">
        <v>21659.199999999997</v>
      </c>
      <c r="J36" s="3">
        <v>83082.5</v>
      </c>
      <c r="K36" s="3">
        <v>9482.7</v>
      </c>
      <c r="L36" s="3">
        <v>56.300000000000004</v>
      </c>
      <c r="M36" s="3">
        <v>1465.6</v>
      </c>
      <c r="N36" s="3">
        <v>11004.6</v>
      </c>
      <c r="O36" s="3">
        <v>7025.3200000000015</v>
      </c>
      <c r="P36" s="3">
        <v>133139.610861</v>
      </c>
    </row>
    <row r="37" spans="1:16" ht="18">
      <c r="A37" s="38" t="s">
        <v>75</v>
      </c>
      <c r="B37" s="3">
        <v>21218.7</v>
      </c>
      <c r="C37" s="3">
        <v>11921.59</v>
      </c>
      <c r="D37" s="3">
        <v>100.79</v>
      </c>
      <c r="E37" s="3">
        <v>33241.08</v>
      </c>
      <c r="F37" s="3">
        <v>0</v>
      </c>
      <c r="G37" s="3">
        <v>65468.05</v>
      </c>
      <c r="H37" s="3">
        <v>3756.25</v>
      </c>
      <c r="I37" s="3">
        <v>27216.699999999997</v>
      </c>
      <c r="J37" s="3">
        <v>96441</v>
      </c>
      <c r="K37" s="3">
        <v>11894.5</v>
      </c>
      <c r="L37" s="3">
        <v>282.85</v>
      </c>
      <c r="M37" s="3">
        <v>4405.24</v>
      </c>
      <c r="N37" s="3">
        <v>16582.59</v>
      </c>
      <c r="O37" s="3">
        <v>6580.59</v>
      </c>
      <c r="P37" s="3">
        <v>152845.26</v>
      </c>
    </row>
    <row r="38" spans="1:16" ht="18">
      <c r="A38" s="38" t="s">
        <v>76</v>
      </c>
      <c r="B38" s="3">
        <v>24099.082773000002</v>
      </c>
      <c r="C38" s="3">
        <v>21286.889928</v>
      </c>
      <c r="D38" s="3">
        <v>153.561035</v>
      </c>
      <c r="E38" s="3">
        <v>45539.533736</v>
      </c>
      <c r="F38" s="3">
        <v>0</v>
      </c>
      <c r="G38" s="3">
        <v>63208.89391299999</v>
      </c>
      <c r="H38" s="3">
        <v>6709.246058</v>
      </c>
      <c r="I38" s="3">
        <v>21780.720162999998</v>
      </c>
      <c r="J38" s="3">
        <v>91698.860134</v>
      </c>
      <c r="K38" s="3">
        <v>13226.523364</v>
      </c>
      <c r="L38" s="3">
        <v>279.872237</v>
      </c>
      <c r="M38" s="3">
        <v>1796.1206</v>
      </c>
      <c r="N38" s="3">
        <v>15302.516201000002</v>
      </c>
      <c r="O38" s="3">
        <v>7788.410505</v>
      </c>
      <c r="P38" s="3">
        <v>160329.32057600003</v>
      </c>
    </row>
    <row r="39" spans="1:16" ht="18">
      <c r="A39" s="38" t="s">
        <v>77</v>
      </c>
      <c r="B39" s="3">
        <v>20898.636067</v>
      </c>
      <c r="C39" s="3">
        <v>15224.149056999999</v>
      </c>
      <c r="D39" s="3">
        <v>126.45147</v>
      </c>
      <c r="E39" s="3">
        <v>36249.236594</v>
      </c>
      <c r="F39" s="3">
        <v>0</v>
      </c>
      <c r="G39" s="3">
        <v>61618.390844</v>
      </c>
      <c r="H39" s="3">
        <v>8285.801297</v>
      </c>
      <c r="I39" s="3">
        <v>22291.547769999997</v>
      </c>
      <c r="J39" s="3">
        <v>92195.739911</v>
      </c>
      <c r="K39" s="3">
        <v>13327.556196000001</v>
      </c>
      <c r="L39" s="3">
        <v>75.12311799999999</v>
      </c>
      <c r="M39" s="3">
        <v>1763.7347579999998</v>
      </c>
      <c r="N39" s="3">
        <v>15166.414072</v>
      </c>
      <c r="O39" s="3">
        <v>11590.206097</v>
      </c>
      <c r="P39" s="3">
        <v>155201.59667399997</v>
      </c>
    </row>
    <row r="40" spans="1:16" ht="18">
      <c r="A40" s="38" t="s">
        <v>78</v>
      </c>
      <c r="B40" s="3">
        <v>17771.528662</v>
      </c>
      <c r="C40" s="3">
        <v>13870.112426</v>
      </c>
      <c r="D40" s="3">
        <v>90.599293</v>
      </c>
      <c r="E40" s="3">
        <v>31732.240381</v>
      </c>
      <c r="F40" s="3">
        <v>0</v>
      </c>
      <c r="G40" s="3">
        <v>40821.438049000004</v>
      </c>
      <c r="H40" s="3">
        <v>5265.31876</v>
      </c>
      <c r="I40" s="3">
        <v>19686.075654</v>
      </c>
      <c r="J40" s="3">
        <v>65772.832463</v>
      </c>
      <c r="K40" s="3">
        <v>8976.294257</v>
      </c>
      <c r="L40" s="3">
        <v>41.078642</v>
      </c>
      <c r="M40" s="3">
        <v>1224.409921</v>
      </c>
      <c r="N40" s="3">
        <v>10241.78282</v>
      </c>
      <c r="O40" s="3">
        <v>5475.4061</v>
      </c>
      <c r="P40" s="3">
        <v>113222.26176400001</v>
      </c>
    </row>
    <row r="41" spans="1:16" ht="18">
      <c r="A41" s="38" t="s">
        <v>79</v>
      </c>
      <c r="B41" s="3">
        <v>16631.431038</v>
      </c>
      <c r="C41" s="3">
        <v>14039.664241</v>
      </c>
      <c r="D41" s="3">
        <v>115.721473</v>
      </c>
      <c r="E41" s="3">
        <v>30786.816752</v>
      </c>
      <c r="F41" s="3">
        <v>0</v>
      </c>
      <c r="G41" s="3">
        <v>49523.895810999995</v>
      </c>
      <c r="H41" s="3">
        <v>9525.478985</v>
      </c>
      <c r="I41" s="3">
        <v>23283.250926</v>
      </c>
      <c r="J41" s="3">
        <v>82332.625722</v>
      </c>
      <c r="K41" s="3">
        <v>9939.931679000001</v>
      </c>
      <c r="L41" s="3">
        <v>3.868134</v>
      </c>
      <c r="M41" s="3">
        <v>1469.436737096</v>
      </c>
      <c r="N41" s="3">
        <v>11413.236550096</v>
      </c>
      <c r="O41" s="3">
        <v>9556.761156</v>
      </c>
      <c r="P41" s="3">
        <v>134089.440180096</v>
      </c>
    </row>
    <row r="42" spans="1:16" ht="18">
      <c r="A42" s="38" t="s">
        <v>80</v>
      </c>
      <c r="B42" s="3">
        <v>19829.270429</v>
      </c>
      <c r="C42" s="3">
        <v>13330.162562000001</v>
      </c>
      <c r="D42" s="3">
        <v>109.482947</v>
      </c>
      <c r="E42" s="3">
        <v>33268.915938</v>
      </c>
      <c r="F42" s="3">
        <v>0</v>
      </c>
      <c r="G42" s="3">
        <v>56116.676032999996</v>
      </c>
      <c r="H42" s="3">
        <v>6596.800909</v>
      </c>
      <c r="I42" s="3">
        <v>19451.274369</v>
      </c>
      <c r="J42" s="3">
        <v>82164.751311</v>
      </c>
      <c r="K42" s="3">
        <v>13427.561668</v>
      </c>
      <c r="L42" s="3">
        <v>0</v>
      </c>
      <c r="M42" s="3">
        <v>2717.341666</v>
      </c>
      <c r="N42" s="3">
        <v>16144.903333999999</v>
      </c>
      <c r="O42" s="3">
        <v>9574.296838</v>
      </c>
      <c r="P42" s="3">
        <v>141152.867421</v>
      </c>
    </row>
    <row r="43" spans="1:16" ht="18">
      <c r="A43" s="38" t="s">
        <v>81</v>
      </c>
      <c r="B43" s="3">
        <v>18432.911018</v>
      </c>
      <c r="C43" s="3">
        <v>15912.526221</v>
      </c>
      <c r="D43" s="3">
        <v>113.042505</v>
      </c>
      <c r="E43" s="3">
        <v>34458.479744</v>
      </c>
      <c r="F43" s="3">
        <v>0</v>
      </c>
      <c r="G43" s="3">
        <v>52316.605193</v>
      </c>
      <c r="H43" s="3">
        <v>7797.3559829999995</v>
      </c>
      <c r="I43" s="3">
        <v>18941.777991000003</v>
      </c>
      <c r="J43" s="3">
        <v>79055.739167</v>
      </c>
      <c r="K43" s="3">
        <v>13640.696189999999</v>
      </c>
      <c r="L43" s="3">
        <v>15.353445</v>
      </c>
      <c r="M43" s="3">
        <v>1867.0144841904</v>
      </c>
      <c r="N43" s="3">
        <v>15523.0641191904</v>
      </c>
      <c r="O43" s="3">
        <v>9558.828843000005</v>
      </c>
      <c r="P43" s="3">
        <v>138596.1118731904</v>
      </c>
    </row>
    <row r="44" spans="1:16" ht="18">
      <c r="A44" s="38" t="s">
        <v>82</v>
      </c>
      <c r="B44" s="3">
        <v>18641.890766</v>
      </c>
      <c r="C44" s="3">
        <v>13389.023161000001</v>
      </c>
      <c r="D44" s="3">
        <v>132.837114</v>
      </c>
      <c r="E44" s="3">
        <v>32163.751040999996</v>
      </c>
      <c r="F44" s="3">
        <v>0</v>
      </c>
      <c r="G44" s="3">
        <v>53755.246788000004</v>
      </c>
      <c r="H44" s="3">
        <v>8615.640604</v>
      </c>
      <c r="I44" s="3">
        <v>19586.483737</v>
      </c>
      <c r="J44" s="3">
        <v>81957.371129</v>
      </c>
      <c r="K44" s="3">
        <v>14428.385565999999</v>
      </c>
      <c r="L44" s="3">
        <v>60.836554</v>
      </c>
      <c r="M44" s="3">
        <v>1756.703178203936</v>
      </c>
      <c r="N44" s="3">
        <v>16245.925298203936</v>
      </c>
      <c r="O44" s="3">
        <v>11845.541583972066</v>
      </c>
      <c r="P44" s="3">
        <v>142212.589052176</v>
      </c>
    </row>
    <row r="45" spans="1:16" ht="18">
      <c r="A45" s="38" t="s">
        <v>83</v>
      </c>
      <c r="B45" s="3">
        <v>19340.989247999998</v>
      </c>
      <c r="C45" s="3">
        <v>12756.320627000001</v>
      </c>
      <c r="D45" s="3">
        <v>98.91390899999999</v>
      </c>
      <c r="E45" s="3">
        <v>32196.223784000005</v>
      </c>
      <c r="F45" s="3">
        <v>0</v>
      </c>
      <c r="G45" s="3">
        <v>59807.586239</v>
      </c>
      <c r="H45" s="3">
        <v>8075.511914000001</v>
      </c>
      <c r="I45" s="3">
        <v>25614.893600000003</v>
      </c>
      <c r="J45" s="3">
        <v>93497.991753</v>
      </c>
      <c r="K45" s="3">
        <v>14751.374566999999</v>
      </c>
      <c r="L45" s="3">
        <v>99.34235000000001</v>
      </c>
      <c r="M45" s="3">
        <v>1914.6032570000002</v>
      </c>
      <c r="N45" s="3">
        <v>16765.320174</v>
      </c>
      <c r="O45" s="3">
        <v>11394.814077000003</v>
      </c>
      <c r="P45" s="3">
        <v>153854.349788</v>
      </c>
    </row>
    <row r="46" spans="1:16" ht="18">
      <c r="A46" s="38" t="s">
        <v>84</v>
      </c>
      <c r="B46" s="3">
        <v>19292.719548</v>
      </c>
      <c r="C46" s="3">
        <v>14275.730034</v>
      </c>
      <c r="D46" s="3">
        <v>88.08328900000001</v>
      </c>
      <c r="E46" s="3">
        <v>33656.532871</v>
      </c>
      <c r="F46" s="3">
        <v>0</v>
      </c>
      <c r="G46" s="3">
        <v>55892.29262099999</v>
      </c>
      <c r="H46" s="3">
        <v>9312.612928999999</v>
      </c>
      <c r="I46" s="3">
        <v>20528.306074</v>
      </c>
      <c r="J46" s="3">
        <v>85733.21162399999</v>
      </c>
      <c r="K46" s="3">
        <v>16291.193496</v>
      </c>
      <c r="L46" s="3">
        <v>250.253258</v>
      </c>
      <c r="M46" s="3">
        <v>2102.9042099052804</v>
      </c>
      <c r="N46" s="3">
        <v>18644.35096390528</v>
      </c>
      <c r="O46" s="3">
        <v>11910.425291633728</v>
      </c>
      <c r="P46" s="3">
        <v>149944.520750539</v>
      </c>
    </row>
    <row r="47" spans="1:16" ht="18">
      <c r="A47" s="38" t="s">
        <v>85</v>
      </c>
      <c r="B47" s="3">
        <v>25473.606388</v>
      </c>
      <c r="C47" s="2">
        <v>19547.395063</v>
      </c>
      <c r="D47" s="2">
        <v>52.028108</v>
      </c>
      <c r="E47" s="3">
        <v>45073.029559</v>
      </c>
      <c r="F47" s="3">
        <v>0</v>
      </c>
      <c r="G47" s="2">
        <v>60726.991287</v>
      </c>
      <c r="H47" s="4">
        <v>10081.915860000001</v>
      </c>
      <c r="I47" s="2">
        <v>23648.386531</v>
      </c>
      <c r="J47" s="3">
        <v>94457.293678</v>
      </c>
      <c r="K47" s="2">
        <v>15313.763288</v>
      </c>
      <c r="L47" s="4">
        <v>101.69252499999999</v>
      </c>
      <c r="M47" s="4">
        <v>2153.084427</v>
      </c>
      <c r="N47" s="3">
        <v>17568.540240000002</v>
      </c>
      <c r="O47" s="2">
        <v>10280.307377999998</v>
      </c>
      <c r="P47" s="3">
        <v>167379.17085499997</v>
      </c>
    </row>
    <row r="48" spans="1:16" ht="18">
      <c r="A48" s="38" t="s">
        <v>86</v>
      </c>
      <c r="B48" s="3">
        <v>13463.005604</v>
      </c>
      <c r="C48" s="2">
        <v>22351.809586</v>
      </c>
      <c r="D48" s="2">
        <v>38.742755</v>
      </c>
      <c r="E48" s="3">
        <v>35853.55794499999</v>
      </c>
      <c r="F48" s="3">
        <v>0</v>
      </c>
      <c r="G48" s="2">
        <v>59337.001071000006</v>
      </c>
      <c r="H48" s="4">
        <v>16709.010535999998</v>
      </c>
      <c r="I48" s="2">
        <v>19178.361164</v>
      </c>
      <c r="J48" s="3">
        <v>95224.372771</v>
      </c>
      <c r="K48" s="2">
        <v>11415.0940792</v>
      </c>
      <c r="L48" s="4">
        <v>120.078093</v>
      </c>
      <c r="M48" s="4">
        <v>3323.0462239999997</v>
      </c>
      <c r="N48" s="3">
        <v>14858.218396199998</v>
      </c>
      <c r="O48" s="2">
        <v>10551.713363800007</v>
      </c>
      <c r="P48" s="3">
        <v>156487.862476</v>
      </c>
    </row>
    <row r="49" spans="1:16" ht="18">
      <c r="A49" s="38" t="s">
        <v>87</v>
      </c>
      <c r="B49" s="3">
        <v>21341.610133000002</v>
      </c>
      <c r="C49" s="2">
        <v>12506.682985</v>
      </c>
      <c r="D49" s="2">
        <v>65.85382</v>
      </c>
      <c r="E49" s="3">
        <v>33914.146938</v>
      </c>
      <c r="F49" s="3">
        <v>0</v>
      </c>
      <c r="G49" s="2">
        <v>76880.72472</v>
      </c>
      <c r="H49" s="4">
        <v>20490.599426</v>
      </c>
      <c r="I49" s="2">
        <v>29328.818765</v>
      </c>
      <c r="J49" s="3">
        <v>126700.142911</v>
      </c>
      <c r="K49" s="2">
        <v>16929.659244000002</v>
      </c>
      <c r="L49" s="4">
        <v>149.133333</v>
      </c>
      <c r="M49" s="4">
        <v>2119.451987</v>
      </c>
      <c r="N49" s="3">
        <v>19198.244564</v>
      </c>
      <c r="O49" s="2">
        <v>13991.78592599998</v>
      </c>
      <c r="P49" s="3">
        <v>193804.32033899997</v>
      </c>
    </row>
    <row r="50" spans="1:16" ht="18">
      <c r="A50" s="38" t="s">
        <v>88</v>
      </c>
      <c r="B50" s="3">
        <v>15760.986813</v>
      </c>
      <c r="C50" s="2">
        <v>20827.588917</v>
      </c>
      <c r="D50" s="2">
        <v>96.363041</v>
      </c>
      <c r="E50" s="3">
        <v>36684.938771</v>
      </c>
      <c r="F50" s="3">
        <v>0</v>
      </c>
      <c r="G50" s="2">
        <v>73182.78519299999</v>
      </c>
      <c r="H50" s="4">
        <v>18380.173314</v>
      </c>
      <c r="I50" s="2">
        <v>25993.464922</v>
      </c>
      <c r="J50" s="3">
        <v>117556.42342899999</v>
      </c>
      <c r="K50" s="2">
        <v>14205.18724</v>
      </c>
      <c r="L50" s="4">
        <v>48.583808000000005</v>
      </c>
      <c r="M50" s="4">
        <v>2196.309198</v>
      </c>
      <c r="N50" s="3">
        <v>16450.080245999998</v>
      </c>
      <c r="O50" s="2">
        <v>10728.129664000015</v>
      </c>
      <c r="P50" s="3">
        <v>181419.57211</v>
      </c>
    </row>
    <row r="51" spans="1:16" ht="18">
      <c r="A51" s="38" t="s">
        <v>89</v>
      </c>
      <c r="B51" s="3">
        <v>33490.163094999996</v>
      </c>
      <c r="C51" s="2">
        <v>19774.201946</v>
      </c>
      <c r="D51" s="2">
        <v>34.764585999999994</v>
      </c>
      <c r="E51" s="3">
        <v>53299.129627</v>
      </c>
      <c r="F51" s="3">
        <v>0</v>
      </c>
      <c r="G51" s="2">
        <v>71070.45969599999</v>
      </c>
      <c r="H51" s="4">
        <v>17631.427818999997</v>
      </c>
      <c r="I51" s="2">
        <v>25436.32272</v>
      </c>
      <c r="J51" s="3">
        <v>114138.21023499999</v>
      </c>
      <c r="K51" s="2">
        <v>14948.267240000001</v>
      </c>
      <c r="L51" s="4">
        <v>367.197105</v>
      </c>
      <c r="M51" s="4">
        <v>2165.059189</v>
      </c>
      <c r="N51" s="3">
        <v>17480.523534</v>
      </c>
      <c r="O51" s="2">
        <v>11049.049849000003</v>
      </c>
      <c r="P51" s="3">
        <v>195966.913245</v>
      </c>
    </row>
    <row r="52" spans="1:16" ht="18">
      <c r="A52" s="38" t="s">
        <v>90</v>
      </c>
      <c r="B52" s="3">
        <v>23795.101848</v>
      </c>
      <c r="C52" s="2">
        <v>15307.160672999998</v>
      </c>
      <c r="D52" s="2">
        <v>91.630951</v>
      </c>
      <c r="E52" s="3">
        <v>39193.893471999996</v>
      </c>
      <c r="F52" s="3">
        <v>0</v>
      </c>
      <c r="G52" s="2">
        <v>70291.051267</v>
      </c>
      <c r="H52" s="4">
        <v>16027.040314999998</v>
      </c>
      <c r="I52" s="2">
        <v>29016.822117</v>
      </c>
      <c r="J52" s="3">
        <v>115334.913699</v>
      </c>
      <c r="K52" s="2">
        <v>17091.000629000002</v>
      </c>
      <c r="L52" s="4">
        <v>196.405962</v>
      </c>
      <c r="M52" s="4">
        <v>1931.4579749999998</v>
      </c>
      <c r="N52" s="3">
        <v>19218.864566</v>
      </c>
      <c r="O52" s="2">
        <v>11241.677575000002</v>
      </c>
      <c r="P52" s="3">
        <v>184989.349312</v>
      </c>
    </row>
    <row r="53" spans="1:16" ht="18">
      <c r="A53" s="38" t="s">
        <v>91</v>
      </c>
      <c r="B53" s="3">
        <v>23243.40924</v>
      </c>
      <c r="C53" s="2">
        <v>13824.987179</v>
      </c>
      <c r="D53" s="2">
        <v>102.811183</v>
      </c>
      <c r="E53" s="3">
        <v>37171.207601999995</v>
      </c>
      <c r="F53" s="3">
        <v>0</v>
      </c>
      <c r="G53" s="2">
        <v>80850.393736</v>
      </c>
      <c r="H53" s="4">
        <v>18014.693338</v>
      </c>
      <c r="I53" s="2">
        <v>29080.776730999998</v>
      </c>
      <c r="J53" s="3">
        <v>127945.863805</v>
      </c>
      <c r="K53" s="2">
        <v>17447.507803</v>
      </c>
      <c r="L53" s="4">
        <v>358.534027</v>
      </c>
      <c r="M53" s="4">
        <v>2042.1955560000001</v>
      </c>
      <c r="N53" s="3">
        <v>19848.237386</v>
      </c>
      <c r="O53" s="2">
        <v>11480.607741</v>
      </c>
      <c r="P53" s="3">
        <v>196445.91653400002</v>
      </c>
    </row>
    <row r="54" spans="1:16" ht="18">
      <c r="A54" s="38" t="s">
        <v>92</v>
      </c>
      <c r="B54" s="3">
        <v>25888.327657</v>
      </c>
      <c r="C54" s="2">
        <v>16073.082558999999</v>
      </c>
      <c r="D54" s="2">
        <v>52.07402499999999</v>
      </c>
      <c r="E54" s="3">
        <v>42013.484241</v>
      </c>
      <c r="F54" s="3">
        <v>0</v>
      </c>
      <c r="G54" s="2">
        <v>78150.492296</v>
      </c>
      <c r="H54" s="4">
        <v>16334.328787</v>
      </c>
      <c r="I54" s="2">
        <v>26924.351904999996</v>
      </c>
      <c r="J54" s="3">
        <v>121409.172988</v>
      </c>
      <c r="K54" s="2">
        <v>17134.923801999998</v>
      </c>
      <c r="L54" s="4">
        <v>177.074646</v>
      </c>
      <c r="M54" s="4">
        <v>2044.5940620000001</v>
      </c>
      <c r="N54" s="3">
        <v>19356.59251</v>
      </c>
      <c r="O54" s="2">
        <v>10696.444881</v>
      </c>
      <c r="P54" s="3">
        <v>193475.69462</v>
      </c>
    </row>
    <row r="55" spans="1:16" ht="18">
      <c r="A55" s="38" t="s">
        <v>93</v>
      </c>
      <c r="B55" s="3">
        <v>44684.461899</v>
      </c>
      <c r="C55" s="3">
        <v>21770.623369</v>
      </c>
      <c r="D55" s="3">
        <v>42.579369</v>
      </c>
      <c r="E55" s="3">
        <v>66497.66463700001</v>
      </c>
      <c r="F55" s="3">
        <v>0</v>
      </c>
      <c r="G55" s="3">
        <v>78147.417811</v>
      </c>
      <c r="H55" s="3">
        <v>15130.691404000001</v>
      </c>
      <c r="I55" s="3">
        <v>27094.075676</v>
      </c>
      <c r="J55" s="3">
        <v>120372.184891</v>
      </c>
      <c r="K55" s="3">
        <v>16863.427864</v>
      </c>
      <c r="L55" s="3">
        <v>149.289065</v>
      </c>
      <c r="M55" s="3">
        <v>2401.8684789999998</v>
      </c>
      <c r="N55" s="3">
        <v>19414.585408</v>
      </c>
      <c r="O55" s="3">
        <v>10181.978126999998</v>
      </c>
      <c r="P55" s="3">
        <v>216466.413063</v>
      </c>
    </row>
    <row r="56" spans="1:16" ht="18">
      <c r="A56" s="38" t="s">
        <v>94</v>
      </c>
      <c r="B56" s="3">
        <v>36994.166287</v>
      </c>
      <c r="C56" s="3">
        <v>16575.738284</v>
      </c>
      <c r="D56" s="3">
        <v>54.438142</v>
      </c>
      <c r="E56" s="3">
        <v>53624.342713000005</v>
      </c>
      <c r="F56" s="3">
        <v>0</v>
      </c>
      <c r="G56" s="3">
        <v>82095.888416</v>
      </c>
      <c r="H56" s="3">
        <v>18811.435525</v>
      </c>
      <c r="I56" s="3">
        <v>27147.539840999998</v>
      </c>
      <c r="J56" s="3">
        <v>128054.863782</v>
      </c>
      <c r="K56" s="3">
        <v>21171.48421182992</v>
      </c>
      <c r="L56" s="3">
        <v>64.894135</v>
      </c>
      <c r="M56" s="3">
        <v>1943.278738</v>
      </c>
      <c r="N56" s="3">
        <v>23179.657084829916</v>
      </c>
      <c r="O56" s="3">
        <v>12274.842157000003</v>
      </c>
      <c r="P56" s="3">
        <v>217133.70573682993</v>
      </c>
    </row>
    <row r="57" spans="1:16" ht="18">
      <c r="A57" s="38" t="s">
        <v>95</v>
      </c>
      <c r="B57" s="3">
        <v>30550.04302</v>
      </c>
      <c r="C57" s="3">
        <v>15092.485585</v>
      </c>
      <c r="D57" s="3">
        <v>69.366432</v>
      </c>
      <c r="E57" s="3">
        <v>45711.89503700001</v>
      </c>
      <c r="F57" s="3">
        <v>0</v>
      </c>
      <c r="G57" s="3">
        <v>90534.437043</v>
      </c>
      <c r="H57" s="3">
        <v>17591.518313</v>
      </c>
      <c r="I57" s="3">
        <v>34504.870397</v>
      </c>
      <c r="J57" s="3">
        <v>142630.825753</v>
      </c>
      <c r="K57" s="3">
        <v>21182.670459</v>
      </c>
      <c r="L57" s="3">
        <v>22.077324</v>
      </c>
      <c r="M57" s="3">
        <v>2073.926639590632</v>
      </c>
      <c r="N57" s="3">
        <v>23278.674422590633</v>
      </c>
      <c r="O57" s="3">
        <v>14633.364307000014</v>
      </c>
      <c r="P57" s="3">
        <v>226254.75951959065</v>
      </c>
    </row>
    <row r="58" spans="1:16" ht="18">
      <c r="A58" s="38" t="s">
        <v>96</v>
      </c>
      <c r="B58" s="3">
        <v>34898.923224</v>
      </c>
      <c r="C58" s="3">
        <v>17229.78833</v>
      </c>
      <c r="D58" s="3">
        <v>49.667883</v>
      </c>
      <c r="E58" s="3">
        <v>52178.37943700001</v>
      </c>
      <c r="F58" s="3">
        <v>0</v>
      </c>
      <c r="G58" s="3">
        <v>90065.35195499999</v>
      </c>
      <c r="H58" s="3">
        <v>22793.723541</v>
      </c>
      <c r="I58" s="3">
        <v>26974.308255000004</v>
      </c>
      <c r="J58" s="3">
        <v>139833.383751</v>
      </c>
      <c r="K58" s="3">
        <v>22942.292736</v>
      </c>
      <c r="L58" s="3">
        <v>87.73746600000001</v>
      </c>
      <c r="M58" s="3">
        <v>1903.42519313612</v>
      </c>
      <c r="N58" s="3">
        <v>24933.455395136116</v>
      </c>
      <c r="O58" s="3">
        <v>13652.220646999998</v>
      </c>
      <c r="P58" s="3">
        <v>230597.43923013614</v>
      </c>
    </row>
    <row r="59" spans="1:16" ht="18">
      <c r="A59" s="38" t="s">
        <v>97</v>
      </c>
      <c r="B59" s="3">
        <f>SUM(Monthly!B187:B189)</f>
        <v>38147.572693</v>
      </c>
      <c r="C59" s="3">
        <f>SUM(Monthly!C187:C189)</f>
        <v>23864.07603756</v>
      </c>
      <c r="D59" s="3">
        <f>SUM(Monthly!D187:D189)</f>
        <v>44.968879</v>
      </c>
      <c r="E59" s="3">
        <f>SUM(Monthly!E187:E189)</f>
        <v>62056.61760956</v>
      </c>
      <c r="F59" s="3">
        <f>SUM(Monthly!F187:F189)</f>
        <v>0</v>
      </c>
      <c r="G59" s="3">
        <f>SUM(Monthly!G187:G189)</f>
        <v>90094.711873</v>
      </c>
      <c r="H59" s="3">
        <f>SUM(Monthly!H187:H189)</f>
        <v>17856.291904</v>
      </c>
      <c r="I59" s="3">
        <f>SUM(Monthly!I187:I189)</f>
        <v>30824.798296</v>
      </c>
      <c r="J59" s="3">
        <f>SUM(Monthly!J187:J189)</f>
        <v>138775.802073</v>
      </c>
      <c r="K59" s="3">
        <f>SUM(Monthly!K187:K189)</f>
        <v>22860.542095</v>
      </c>
      <c r="L59" s="3">
        <f>SUM(Monthly!L187:L189)</f>
        <v>58.686728</v>
      </c>
      <c r="M59" s="3">
        <f>SUM(Monthly!M187:M189)</f>
        <v>2380.165036649053</v>
      </c>
      <c r="N59" s="3">
        <f>SUM(Monthly!N187:N189)</f>
        <v>25299.39385964905</v>
      </c>
      <c r="O59" s="3">
        <f>SUM(Monthly!O187:O189)</f>
        <v>15818.6240158032</v>
      </c>
      <c r="P59" s="3">
        <f>SUM(Monthly!P187:P189)</f>
        <v>241950.43755801226</v>
      </c>
    </row>
    <row r="60" spans="1:16" ht="18">
      <c r="A60" s="38" t="s">
        <v>98</v>
      </c>
      <c r="B60" s="3">
        <f>SUM(Monthly!B190:B192)</f>
        <v>36252.927368000004</v>
      </c>
      <c r="C60" s="3">
        <f>SUM(Monthly!C190:C192)</f>
        <v>18801.708045</v>
      </c>
      <c r="D60" s="3">
        <f>SUM(Monthly!D190:D192)</f>
        <v>49.506185</v>
      </c>
      <c r="E60" s="3">
        <f>SUM(Monthly!E190:E192)</f>
        <v>55104.141598</v>
      </c>
      <c r="F60" s="3">
        <f>SUM(Monthly!F190:F192)</f>
        <v>0</v>
      </c>
      <c r="G60" s="3">
        <f>SUM(Monthly!G190:G192)</f>
        <v>84416.730274</v>
      </c>
      <c r="H60" s="3">
        <f>SUM(Monthly!H190:H192)</f>
        <v>20827.95915</v>
      </c>
      <c r="I60" s="3">
        <f>SUM(Monthly!I190:I192)</f>
        <v>25701.440237</v>
      </c>
      <c r="J60" s="3">
        <f>SUM(Monthly!J190:J192)</f>
        <v>130946.12966099998</v>
      </c>
      <c r="K60" s="3">
        <f>SUM(Monthly!K190:K192)</f>
        <v>23155.078618</v>
      </c>
      <c r="L60" s="3">
        <f>SUM(Monthly!L190:L192)</f>
        <v>0</v>
      </c>
      <c r="M60" s="3">
        <f>SUM(Monthly!M190:M192)</f>
        <v>1352.35972112544</v>
      </c>
      <c r="N60" s="3">
        <f>SUM(Monthly!N190:N192)</f>
        <v>24507.438339125438</v>
      </c>
      <c r="O60" s="3">
        <f>SUM(Monthly!O190:O192)</f>
        <v>11500.218779</v>
      </c>
      <c r="P60" s="3">
        <f>SUM(Monthly!P190:P192)</f>
        <v>222057.92837712544</v>
      </c>
    </row>
    <row r="61" spans="1:16" ht="18">
      <c r="A61" s="38" t="s">
        <v>99</v>
      </c>
      <c r="B61" s="3">
        <f>SUM(Monthly!B193:B195)</f>
        <v>31781.474069</v>
      </c>
      <c r="C61" s="3">
        <f>SUM(Monthly!C193:C195)</f>
        <v>16692.297037</v>
      </c>
      <c r="D61" s="3">
        <f>SUM(Monthly!D193:D195)</f>
        <v>44.082972999999996</v>
      </c>
      <c r="E61" s="3">
        <f>SUM(Monthly!E193:E195)</f>
        <v>48517.854079</v>
      </c>
      <c r="F61" s="3">
        <f>SUM(Monthly!F193:F195)</f>
        <v>0</v>
      </c>
      <c r="G61" s="3">
        <f>SUM(Monthly!G193:G195)</f>
        <v>103479.912813</v>
      </c>
      <c r="H61" s="3">
        <f>SUM(Monthly!H193:H195)</f>
        <v>18975.749031</v>
      </c>
      <c r="I61" s="3">
        <f>SUM(Monthly!I193:I195)</f>
        <v>35272.898780999996</v>
      </c>
      <c r="J61" s="3">
        <f>SUM(Monthly!J193:J195)</f>
        <v>157728.560625</v>
      </c>
      <c r="K61" s="3">
        <f>SUM(Monthly!K193:K195)</f>
        <v>31995.278822</v>
      </c>
      <c r="L61" s="3">
        <f>SUM(Monthly!L193:L195)</f>
        <v>30.413443</v>
      </c>
      <c r="M61" s="3">
        <f>SUM(Monthly!M193:M195)</f>
        <v>1771.093097</v>
      </c>
      <c r="N61" s="3">
        <f>SUM(Monthly!N193:N195)</f>
        <v>33796.785361999995</v>
      </c>
      <c r="O61" s="3">
        <f>SUM(Monthly!O193:O195)</f>
        <v>15491.281092999998</v>
      </c>
      <c r="P61" s="3">
        <f>SUM(Monthly!P193:P195)</f>
        <v>255534.48115900002</v>
      </c>
    </row>
    <row r="62" spans="1:16" ht="18">
      <c r="A62" s="52" t="s">
        <v>100</v>
      </c>
      <c r="B62" s="3">
        <f>SUM(Monthly!B196:B198)</f>
        <v>33684.539235000004</v>
      </c>
      <c r="C62" s="3">
        <f>SUM(Monthly!C196:C198)</f>
        <v>19103.155993</v>
      </c>
      <c r="D62" s="3">
        <f>SUM(Monthly!D196:D198)</f>
        <v>54.856926</v>
      </c>
      <c r="E62" s="3">
        <f>SUM(Monthly!E196:E198)</f>
        <v>52842.552154000005</v>
      </c>
      <c r="F62" s="3">
        <f>SUM(Monthly!F196:F198)</f>
        <v>0</v>
      </c>
      <c r="G62" s="3">
        <f>SUM(Monthly!G196:G198)</f>
        <v>92192.362048</v>
      </c>
      <c r="H62" s="3">
        <f>SUM(Monthly!H196:H198)</f>
        <v>21031.693357999997</v>
      </c>
      <c r="I62" s="3">
        <f>SUM(Monthly!I196:I198)</f>
        <v>31934.976408</v>
      </c>
      <c r="J62" s="3">
        <f>SUM(Monthly!J196:J198)</f>
        <v>145159.031814</v>
      </c>
      <c r="K62" s="3">
        <f>SUM(Monthly!K196:K198)</f>
        <v>36151.826887</v>
      </c>
      <c r="L62" s="3">
        <f>SUM(Monthly!L196:L198)</f>
        <v>98.359246</v>
      </c>
      <c r="M62" s="3">
        <f>SUM(Monthly!M196:M198)</f>
        <v>1930.8090149999998</v>
      </c>
      <c r="N62" s="3">
        <f>SUM(Monthly!N196:N198)</f>
        <v>38180.995148</v>
      </c>
      <c r="O62" s="3">
        <f>SUM(Monthly!O196:O198)</f>
        <v>14765.528959000001</v>
      </c>
      <c r="P62" s="3">
        <f>SUM(Monthly!P196:P198)</f>
        <v>250948.108075</v>
      </c>
    </row>
    <row r="63" spans="1:16" ht="18">
      <c r="A63" s="52" t="s">
        <v>101</v>
      </c>
      <c r="B63" s="51">
        <f>SUM(Monthly!B199:B201)</f>
        <v>34455.315524000005</v>
      </c>
      <c r="C63" s="51">
        <f>SUM(Monthly!C199:C201)</f>
        <v>26390.695565</v>
      </c>
      <c r="D63" s="51">
        <f>SUM(Monthly!D199:D201)</f>
        <v>33.205659</v>
      </c>
      <c r="E63" s="51">
        <f>SUM(Monthly!E199:E201)</f>
        <v>60879.216748</v>
      </c>
      <c r="F63" s="51">
        <f>SUM(Monthly!F199:F201)</f>
        <v>0</v>
      </c>
      <c r="G63" s="51">
        <f>SUM(Monthly!G199:G201)</f>
        <v>97282.863255</v>
      </c>
      <c r="H63" s="51">
        <f>SUM(Monthly!H199:H201)</f>
        <v>21494.979049</v>
      </c>
      <c r="I63" s="51">
        <f>SUM(Monthly!I199:I201)</f>
        <v>30859.215538</v>
      </c>
      <c r="J63" s="51">
        <f>SUM(Monthly!J199:J201)</f>
        <v>149637.05784199998</v>
      </c>
      <c r="K63" s="51">
        <f>SUM(Monthly!K199:K201)</f>
        <v>31286.304931</v>
      </c>
      <c r="L63" s="51">
        <f>SUM(Monthly!L199:L201)</f>
        <v>134.111783</v>
      </c>
      <c r="M63" s="51">
        <f>SUM(Monthly!M199:M201)</f>
        <v>1915.005282</v>
      </c>
      <c r="N63" s="51">
        <f>SUM(Monthly!N199:N201)</f>
        <v>33335.421996</v>
      </c>
      <c r="O63" s="51">
        <f>SUM(Monthly!O199:O201)</f>
        <v>17069.803334</v>
      </c>
      <c r="P63" s="51">
        <f>SUM(Monthly!P199:P201)</f>
        <v>260921.49992000003</v>
      </c>
    </row>
    <row r="64" spans="1:16" ht="18">
      <c r="A64" s="52" t="s">
        <v>102</v>
      </c>
      <c r="B64" s="51">
        <f>SUM(Monthly!B202:B204)</f>
        <v>39070.148609</v>
      </c>
      <c r="C64" s="51">
        <f>SUM(Monthly!C202:C204)</f>
        <v>22229.284882</v>
      </c>
      <c r="D64" s="51">
        <f>SUM(Monthly!D202:D204)</f>
        <v>70.454852</v>
      </c>
      <c r="E64" s="51">
        <f>SUM(Monthly!E202:E204)</f>
        <v>61369.888343</v>
      </c>
      <c r="F64" s="51">
        <f>SUM(Monthly!F202:F204)</f>
        <v>0</v>
      </c>
      <c r="G64" s="51">
        <f>SUM(Monthly!G202:G204)</f>
        <v>107195.090855</v>
      </c>
      <c r="H64" s="51">
        <f>SUM(Monthly!H202:H204)</f>
        <v>22746.093596</v>
      </c>
      <c r="I64" s="51">
        <f>SUM(Monthly!I202:I204)</f>
        <v>29217.760655000002</v>
      </c>
      <c r="J64" s="51">
        <f>SUM(Monthly!J202:J204)</f>
        <v>159158.945106</v>
      </c>
      <c r="K64" s="51">
        <f>SUM(Monthly!K202:K204)</f>
        <v>34406.555305</v>
      </c>
      <c r="L64" s="51">
        <f>SUM(Monthly!L202:L204)</f>
        <v>41.277812</v>
      </c>
      <c r="M64" s="51">
        <f>SUM(Monthly!M202:M204)</f>
        <v>1669.412812</v>
      </c>
      <c r="N64" s="51">
        <f>SUM(Monthly!N202:N204)</f>
        <v>36117.245929000004</v>
      </c>
      <c r="O64" s="51">
        <f>SUM(Monthly!O202:O204)</f>
        <v>18075.209158277998</v>
      </c>
      <c r="P64" s="51">
        <f>SUM(Monthly!P202:P204)</f>
        <v>274721.28853627795</v>
      </c>
    </row>
    <row r="65" spans="1:16" ht="18">
      <c r="A65" s="38" t="s">
        <v>103</v>
      </c>
      <c r="B65" s="51">
        <f>SUM(Monthly!B205:B207)</f>
        <v>34787.641279</v>
      </c>
      <c r="C65" s="51">
        <f>SUM(Monthly!C205:C207)</f>
        <v>20290.34667247</v>
      </c>
      <c r="D65" s="51">
        <f>SUM(Monthly!D205:D207)</f>
        <v>90.54297700000001</v>
      </c>
      <c r="E65" s="51">
        <f>SUM(Monthly!E205:E207)</f>
        <v>55168.530928470005</v>
      </c>
      <c r="F65" s="51">
        <f>SUM(Monthly!F205:F207)</f>
        <v>0</v>
      </c>
      <c r="G65" s="51">
        <f>SUM(Monthly!G205:G207)</f>
        <v>120462.198091</v>
      </c>
      <c r="H65" s="51">
        <f>SUM(Monthly!H205:H207)</f>
        <v>22032.353837000002</v>
      </c>
      <c r="I65" s="51">
        <f>SUM(Monthly!I205:I207)</f>
        <v>34852.870434</v>
      </c>
      <c r="J65" s="51">
        <f>SUM(Monthly!J205:J207)</f>
        <v>177347.422362</v>
      </c>
      <c r="K65" s="51">
        <f>SUM(Monthly!K205:K207)</f>
        <v>33908.229212</v>
      </c>
      <c r="L65" s="51">
        <f>SUM(Monthly!L205:L207)</f>
        <v>56.905037</v>
      </c>
      <c r="M65" s="51">
        <f>SUM(Monthly!M205:M207)</f>
        <v>1564.554296001184</v>
      </c>
      <c r="N65" s="51">
        <f>SUM(Monthly!N205:N207)</f>
        <v>35529.68854500118</v>
      </c>
      <c r="O65" s="51">
        <f>SUM(Monthly!O205:O207)</f>
        <v>25993.9487152032</v>
      </c>
      <c r="P65" s="51">
        <f>SUM(Monthly!P205:P207)</f>
        <v>294039.59055067436</v>
      </c>
    </row>
    <row r="66" spans="1:16" ht="18">
      <c r="A66" s="52" t="s">
        <v>105</v>
      </c>
      <c r="B66" s="51">
        <f>SUM(Monthly!B208:B210)</f>
        <v>32410.285293</v>
      </c>
      <c r="C66" s="51">
        <f>SUM(Monthly!C208:C210)</f>
        <v>20110.096602</v>
      </c>
      <c r="D66" s="51">
        <f>SUM(Monthly!D208:D210)</f>
        <v>126.845552</v>
      </c>
      <c r="E66" s="51">
        <f>SUM(Monthly!E208:E210)</f>
        <v>52647.227447</v>
      </c>
      <c r="F66" s="51">
        <f>SUM(Monthly!F208:F210)</f>
        <v>0</v>
      </c>
      <c r="G66" s="51">
        <f>SUM(Monthly!G208:G210)</f>
        <v>113060.99917999998</v>
      </c>
      <c r="H66" s="51">
        <f>SUM(Monthly!H208:H210)</f>
        <v>25305.776935</v>
      </c>
      <c r="I66" s="51">
        <f>SUM(Monthly!I208:I210)</f>
        <v>34048.723726000004</v>
      </c>
      <c r="J66" s="51">
        <f>SUM(Monthly!J208:J210)</f>
        <v>172415.499841</v>
      </c>
      <c r="K66" s="51">
        <f>SUM(Monthly!K208:K210)</f>
        <v>23490.188604</v>
      </c>
      <c r="L66" s="51">
        <f>SUM(Monthly!L208:L210)</f>
        <v>184.403473</v>
      </c>
      <c r="M66" s="51">
        <f>SUM(Monthly!M208:M210)</f>
        <v>1355.687093</v>
      </c>
      <c r="N66" s="51">
        <f>SUM(Monthly!N208:N210)</f>
        <v>25030.279169999998</v>
      </c>
      <c r="O66" s="51">
        <f>SUM(Monthly!O208:O210)</f>
        <v>19096.137507</v>
      </c>
      <c r="P66" s="51">
        <f>SUM(Monthly!P208:P210)</f>
        <v>269189.143965</v>
      </c>
    </row>
    <row r="67" spans="1:18" s="54" customFormat="1" ht="18">
      <c r="A67" s="52" t="s">
        <v>106</v>
      </c>
      <c r="B67" s="51">
        <f>SUM(Monthly!B211:B213)</f>
        <v>70902.049356</v>
      </c>
      <c r="C67" s="51">
        <f>SUM(Monthly!C211:C213)</f>
        <v>29428.988028</v>
      </c>
      <c r="D67" s="51">
        <f>SUM(Monthly!D211:D213)</f>
        <v>94.412801</v>
      </c>
      <c r="E67" s="51">
        <f>SUM(Monthly!E211:E213)</f>
        <v>100425.450185</v>
      </c>
      <c r="F67" s="51">
        <f>SUM(Monthly!F211:F213)</f>
        <v>0</v>
      </c>
      <c r="G67" s="51">
        <f>SUM(Monthly!G211:G213)</f>
        <v>114192.999964</v>
      </c>
      <c r="H67" s="51">
        <f>SUM(Monthly!H211:H213)</f>
        <v>17884.534307</v>
      </c>
      <c r="I67" s="51">
        <f>SUM(Monthly!I211:I213)</f>
        <v>29541.605848</v>
      </c>
      <c r="J67" s="51">
        <f>SUM(Monthly!J211:J213)</f>
        <v>161619.140119</v>
      </c>
      <c r="K67" s="51">
        <f>SUM(Monthly!K211:K213)</f>
        <v>27866.749075</v>
      </c>
      <c r="L67" s="51">
        <f>SUM(Monthly!L211:L213)</f>
        <v>116.65852799999999</v>
      </c>
      <c r="M67" s="51">
        <f>SUM(Monthly!M211:M213)</f>
        <v>2023.141617</v>
      </c>
      <c r="N67" s="51">
        <f>SUM(Monthly!N211:N213)</f>
        <v>30006.549219999997</v>
      </c>
      <c r="O67" s="51">
        <f>SUM(Monthly!O211:O213)</f>
        <v>19116.508618772503</v>
      </c>
      <c r="P67" s="51">
        <f>SUM(Monthly!P211:P213)</f>
        <v>311167.6481427725</v>
      </c>
      <c r="R67"/>
    </row>
    <row r="68" spans="1:18" s="54" customFormat="1" ht="18">
      <c r="A68" s="52" t="s">
        <v>107</v>
      </c>
      <c r="B68" s="51">
        <f>SUM(Monthly!B214:B216)</f>
        <v>107712.61954559946</v>
      </c>
      <c r="C68" s="51">
        <f>SUM(Monthly!C214:C216)</f>
        <v>24691.115348463187</v>
      </c>
      <c r="D68" s="51">
        <f>SUM(Monthly!D214:D216)</f>
        <v>57.249496470165695</v>
      </c>
      <c r="E68" s="51">
        <f>SUM(Monthly!E214:E216)</f>
        <v>132460.98439053283</v>
      </c>
      <c r="F68" s="51">
        <f>SUM(Monthly!F214:F216)</f>
        <v>0</v>
      </c>
      <c r="G68" s="51">
        <f>SUM(Monthly!G214:G216)</f>
        <v>93096.03144521135</v>
      </c>
      <c r="H68" s="51">
        <f>SUM(Monthly!H214:H216)</f>
        <v>16338.497667983063</v>
      </c>
      <c r="I68" s="51">
        <f>SUM(Monthly!I214:I216)</f>
        <v>22257.799639216257</v>
      </c>
      <c r="J68" s="51">
        <f>SUM(Monthly!J214:J216)</f>
        <v>131692.32875241069</v>
      </c>
      <c r="K68" s="51">
        <f>SUM(Monthly!K214:K216)</f>
        <v>22651.372847782506</v>
      </c>
      <c r="L68" s="51">
        <f>SUM(Monthly!L214:L216)</f>
        <v>56.90215350563575</v>
      </c>
      <c r="M68" s="51">
        <f>SUM(Monthly!M214:M216)</f>
        <v>1324.0834563147218</v>
      </c>
      <c r="N68" s="51">
        <f>SUM(Monthly!N214:N216)</f>
        <v>24032.358457602866</v>
      </c>
      <c r="O68" s="51">
        <f>SUM(Monthly!O214:O216)</f>
        <v>15818.731772323334</v>
      </c>
      <c r="P68" s="51">
        <f>SUM(Monthly!P214:P216)</f>
        <v>304004.4033728697</v>
      </c>
      <c r="R68"/>
    </row>
    <row r="69" spans="1:18" s="54" customFormat="1" ht="18">
      <c r="A69" s="38" t="s">
        <v>110</v>
      </c>
      <c r="B69" s="51">
        <f>SUM(Monthly!B217:B219)</f>
        <v>53683.894181</v>
      </c>
      <c r="C69" s="51">
        <f>SUM(Monthly!C217:C219)</f>
        <v>28080.860851</v>
      </c>
      <c r="D69" s="51">
        <f>SUM(Monthly!D217:D219)</f>
        <v>78.948077</v>
      </c>
      <c r="E69" s="51">
        <f>SUM(Monthly!E217:E219)</f>
        <v>81843.703109</v>
      </c>
      <c r="F69" s="51">
        <f>SUM(Monthly!F217:F219)</f>
        <v>0</v>
      </c>
      <c r="G69" s="51">
        <f>SUM(Monthly!G217:G219)</f>
        <v>133544.408803</v>
      </c>
      <c r="H69" s="51">
        <f>SUM(Monthly!H217:H219)</f>
        <v>18619.514311</v>
      </c>
      <c r="I69" s="51">
        <f>SUM(Monthly!I217:I219)</f>
        <v>35194.199129</v>
      </c>
      <c r="J69" s="51">
        <f>SUM(Monthly!J217:J219)</f>
        <v>187358.122243</v>
      </c>
      <c r="K69" s="51">
        <f>SUM(Monthly!K217:K219)</f>
        <v>27628.075242000003</v>
      </c>
      <c r="L69" s="51">
        <f>SUM(Monthly!L217:L219)</f>
        <v>30.713421000000004</v>
      </c>
      <c r="M69" s="51">
        <f>SUM(Monthly!M217:M219)</f>
        <v>2414.503428</v>
      </c>
      <c r="N69" s="51">
        <f>SUM(Monthly!N217:N219)</f>
        <v>30073.292091000003</v>
      </c>
      <c r="O69" s="51">
        <f>SUM(Monthly!O217:O219)</f>
        <v>21301.113635</v>
      </c>
      <c r="P69" s="51">
        <f>SUM(Monthly!P217:P219)</f>
        <v>320576.231078</v>
      </c>
      <c r="R69"/>
    </row>
    <row r="70" spans="1:16" s="1" customFormat="1" ht="15.75">
      <c r="A70" s="58" t="s">
        <v>44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</row>
  </sheetData>
  <sheetProtection/>
  <mergeCells count="9">
    <mergeCell ref="B3:I3"/>
    <mergeCell ref="A70:P70"/>
    <mergeCell ref="O5:O6"/>
    <mergeCell ref="P5:P6"/>
    <mergeCell ref="A5:A6"/>
    <mergeCell ref="B5:E5"/>
    <mergeCell ref="F5:F6"/>
    <mergeCell ref="G5:J5"/>
    <mergeCell ref="K5:N5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8"/>
  <sheetViews>
    <sheetView zoomScalePageLayoutView="0" workbookViewId="0" topLeftCell="A1">
      <pane xSplit="1" ySplit="7" topLeftCell="I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Q17" sqref="Q17"/>
    </sheetView>
  </sheetViews>
  <sheetFormatPr defaultColWidth="8.88671875" defaultRowHeight="15.75"/>
  <cols>
    <col min="1" max="1" width="24.6640625" style="22" customWidth="1"/>
    <col min="2" max="2" width="11.77734375" style="22" customWidth="1"/>
    <col min="3" max="3" width="10.3359375" style="22" customWidth="1"/>
    <col min="4" max="4" width="13.6640625" style="22" bestFit="1" customWidth="1"/>
    <col min="5" max="5" width="10.4453125" style="22" bestFit="1" customWidth="1"/>
    <col min="6" max="6" width="13.4453125" style="22" customWidth="1"/>
    <col min="7" max="7" width="19.3359375" style="22" customWidth="1"/>
    <col min="8" max="8" width="22.4453125" style="22" customWidth="1"/>
    <col min="9" max="9" width="14.77734375" style="22" customWidth="1"/>
    <col min="10" max="10" width="10.4453125" style="22" bestFit="1" customWidth="1"/>
    <col min="11" max="11" width="18.4453125" style="22" bestFit="1" customWidth="1"/>
    <col min="12" max="12" width="12.99609375" style="22" customWidth="1"/>
    <col min="13" max="13" width="11.99609375" style="22" bestFit="1" customWidth="1"/>
    <col min="14" max="14" width="9.77734375" style="22" bestFit="1" customWidth="1"/>
    <col min="15" max="15" width="15.77734375" style="22" customWidth="1"/>
    <col min="16" max="16" width="13.4453125" style="22" customWidth="1"/>
    <col min="17" max="17" width="11.99609375" style="22" bestFit="1" customWidth="1"/>
    <col min="18" max="16384" width="8.88671875" style="22" customWidth="1"/>
  </cols>
  <sheetData>
    <row r="1" ht="18.75">
      <c r="A1" s="31" t="s">
        <v>38</v>
      </c>
    </row>
    <row r="3" ht="18.75">
      <c r="F3" s="23"/>
    </row>
    <row r="4" spans="1:16" ht="18.75">
      <c r="A4" s="24"/>
      <c r="B4" s="61" t="s">
        <v>39</v>
      </c>
      <c r="C4" s="61"/>
      <c r="D4" s="61"/>
      <c r="E4" s="61"/>
      <c r="F4" s="61"/>
      <c r="G4" s="61"/>
      <c r="H4" s="61"/>
      <c r="I4" s="61"/>
      <c r="J4" s="24"/>
      <c r="K4" s="24"/>
      <c r="L4" s="24"/>
      <c r="M4" s="24"/>
      <c r="N4" s="24"/>
      <c r="O4" s="24"/>
      <c r="P4" s="24"/>
    </row>
    <row r="5" spans="1:16" ht="18.75">
      <c r="A5" s="25"/>
      <c r="B5" s="26"/>
      <c r="C5" s="26"/>
      <c r="D5" s="26"/>
      <c r="E5" s="26"/>
      <c r="F5" s="32"/>
      <c r="G5" s="26"/>
      <c r="H5" s="32"/>
      <c r="I5" s="26"/>
      <c r="J5" s="26"/>
      <c r="K5" s="26"/>
      <c r="L5" s="26"/>
      <c r="M5" s="26"/>
      <c r="N5" s="26"/>
      <c r="O5" s="26"/>
      <c r="P5" s="26"/>
    </row>
    <row r="6" spans="1:16" ht="18.75">
      <c r="A6" s="64" t="s">
        <v>40</v>
      </c>
      <c r="B6" s="62" t="s">
        <v>24</v>
      </c>
      <c r="C6" s="62"/>
      <c r="D6" s="62"/>
      <c r="E6" s="62"/>
      <c r="F6" s="63" t="s">
        <v>28</v>
      </c>
      <c r="G6" s="66" t="s">
        <v>29</v>
      </c>
      <c r="H6" s="67"/>
      <c r="I6" s="67"/>
      <c r="J6" s="68"/>
      <c r="K6" s="66" t="s">
        <v>33</v>
      </c>
      <c r="L6" s="67"/>
      <c r="M6" s="67"/>
      <c r="N6" s="68"/>
      <c r="O6" s="59" t="s">
        <v>41</v>
      </c>
      <c r="P6" s="59" t="s">
        <v>42</v>
      </c>
    </row>
    <row r="7" spans="1:16" ht="96.75" customHeight="1">
      <c r="A7" s="65"/>
      <c r="B7" s="40" t="s">
        <v>25</v>
      </c>
      <c r="C7" s="41" t="s">
        <v>26</v>
      </c>
      <c r="D7" s="40" t="s">
        <v>27</v>
      </c>
      <c r="E7" s="40" t="s">
        <v>2</v>
      </c>
      <c r="F7" s="59"/>
      <c r="G7" s="41" t="s">
        <v>30</v>
      </c>
      <c r="H7" s="41" t="s">
        <v>31</v>
      </c>
      <c r="I7" s="42" t="s">
        <v>32</v>
      </c>
      <c r="J7" s="43" t="s">
        <v>2</v>
      </c>
      <c r="K7" s="43" t="s">
        <v>34</v>
      </c>
      <c r="L7" s="43" t="s">
        <v>35</v>
      </c>
      <c r="M7" s="42" t="s">
        <v>36</v>
      </c>
      <c r="N7" s="40" t="s">
        <v>2</v>
      </c>
      <c r="O7" s="60"/>
      <c r="P7" s="60"/>
    </row>
    <row r="8" spans="1:16" ht="18.75">
      <c r="A8" s="27">
        <v>2002</v>
      </c>
      <c r="B8" s="28">
        <v>20831.7</v>
      </c>
      <c r="C8" s="28">
        <v>9900.6</v>
      </c>
      <c r="D8" s="28">
        <v>884.9</v>
      </c>
      <c r="E8" s="28">
        <v>31617.200000000004</v>
      </c>
      <c r="F8" s="28">
        <v>255.3</v>
      </c>
      <c r="G8" s="28">
        <v>25478.6</v>
      </c>
      <c r="H8" s="28">
        <v>1177.6</v>
      </c>
      <c r="I8" s="28">
        <v>16931.1</v>
      </c>
      <c r="J8" s="28">
        <v>43587.299999999996</v>
      </c>
      <c r="K8" s="28">
        <v>13829.6</v>
      </c>
      <c r="L8" s="28">
        <v>21.3</v>
      </c>
      <c r="M8" s="28">
        <v>5691.4</v>
      </c>
      <c r="N8" s="28">
        <v>19542.3</v>
      </c>
      <c r="O8" s="28">
        <v>12249.5</v>
      </c>
      <c r="P8" s="28">
        <v>107251.6</v>
      </c>
    </row>
    <row r="9" spans="1:16" ht="18.75">
      <c r="A9" s="27">
        <v>2003</v>
      </c>
      <c r="B9" s="28">
        <v>18892</v>
      </c>
      <c r="C9" s="28">
        <v>12519.6</v>
      </c>
      <c r="D9" s="28">
        <v>539.7</v>
      </c>
      <c r="E9" s="28">
        <v>31951.3</v>
      </c>
      <c r="F9" s="28">
        <v>292</v>
      </c>
      <c r="G9" s="28">
        <v>30955.2</v>
      </c>
      <c r="H9" s="28">
        <v>1100.1</v>
      </c>
      <c r="I9" s="28">
        <v>16469.2</v>
      </c>
      <c r="J9" s="28">
        <v>48524.5</v>
      </c>
      <c r="K9" s="28">
        <v>16132.2</v>
      </c>
      <c r="L9" s="28">
        <v>82.8</v>
      </c>
      <c r="M9" s="28">
        <v>7618.7</v>
      </c>
      <c r="N9" s="28">
        <v>23833.7</v>
      </c>
      <c r="O9" s="28">
        <v>15251.4</v>
      </c>
      <c r="P9" s="28">
        <v>119852.90000000001</v>
      </c>
    </row>
    <row r="10" spans="1:16" ht="18.75">
      <c r="A10" s="27">
        <v>2004</v>
      </c>
      <c r="B10" s="28">
        <v>20357.7</v>
      </c>
      <c r="C10" s="28">
        <v>14707.7</v>
      </c>
      <c r="D10" s="28">
        <v>605.6</v>
      </c>
      <c r="E10" s="28">
        <v>35671</v>
      </c>
      <c r="F10" s="28">
        <v>6.4</v>
      </c>
      <c r="G10" s="28">
        <v>36307.5</v>
      </c>
      <c r="H10" s="28">
        <v>1375.6</v>
      </c>
      <c r="I10" s="28">
        <v>18195.6</v>
      </c>
      <c r="J10" s="28">
        <v>55878.7</v>
      </c>
      <c r="K10" s="28">
        <v>15570.4</v>
      </c>
      <c r="L10" s="28">
        <v>131.6</v>
      </c>
      <c r="M10" s="28">
        <v>8777.3</v>
      </c>
      <c r="N10" s="28">
        <v>24479.3</v>
      </c>
      <c r="O10" s="28">
        <v>17649.1</v>
      </c>
      <c r="P10" s="28">
        <v>133684.5</v>
      </c>
    </row>
    <row r="11" spans="1:16" ht="18.75">
      <c r="A11" s="27">
        <v>2005</v>
      </c>
      <c r="B11" s="28">
        <v>23240.3</v>
      </c>
      <c r="C11" s="28">
        <v>11479.8</v>
      </c>
      <c r="D11" s="28">
        <v>7237.099999999999</v>
      </c>
      <c r="E11" s="28">
        <v>41957.200000000004</v>
      </c>
      <c r="F11" s="29">
        <v>0</v>
      </c>
      <c r="G11" s="28">
        <v>41796.9</v>
      </c>
      <c r="H11" s="28">
        <v>1419.0000000000002</v>
      </c>
      <c r="I11" s="28">
        <v>21971.6</v>
      </c>
      <c r="J11" s="28">
        <v>65187.49999999999</v>
      </c>
      <c r="K11" s="28">
        <v>18463.8</v>
      </c>
      <c r="L11" s="28">
        <v>121.7</v>
      </c>
      <c r="M11" s="28">
        <v>14455.999999999996</v>
      </c>
      <c r="N11" s="28">
        <v>33041.49999999999</v>
      </c>
      <c r="O11" s="28">
        <v>18844.91075</v>
      </c>
      <c r="P11" s="28">
        <v>159031.11074999996</v>
      </c>
    </row>
    <row r="12" spans="1:16" ht="18.75">
      <c r="A12" s="27">
        <v>2006</v>
      </c>
      <c r="B12" s="30">
        <v>24384.600000000002</v>
      </c>
      <c r="C12" s="30">
        <v>19211.800000000003</v>
      </c>
      <c r="D12" s="30">
        <v>964.3999999999999</v>
      </c>
      <c r="E12" s="28">
        <v>44560.8</v>
      </c>
      <c r="F12" s="29">
        <v>0</v>
      </c>
      <c r="G12" s="30">
        <v>54220.50000000001</v>
      </c>
      <c r="H12" s="30">
        <v>1828.8</v>
      </c>
      <c r="I12" s="30">
        <v>27128.1</v>
      </c>
      <c r="J12" s="28">
        <v>83177.40000000001</v>
      </c>
      <c r="K12" s="30">
        <v>25372.199999999997</v>
      </c>
      <c r="L12" s="30">
        <v>185.7</v>
      </c>
      <c r="M12" s="30">
        <v>294.4</v>
      </c>
      <c r="N12" s="28">
        <v>25852.3</v>
      </c>
      <c r="O12" s="30">
        <v>10048.8</v>
      </c>
      <c r="P12" s="28">
        <v>163639.30000000002</v>
      </c>
    </row>
    <row r="13" spans="1:16" ht="18.75">
      <c r="A13" s="27">
        <v>2007</v>
      </c>
      <c r="B13" s="30">
        <v>27980.599999999995</v>
      </c>
      <c r="C13" s="30">
        <v>24109.999999999996</v>
      </c>
      <c r="D13" s="30">
        <v>988.9</v>
      </c>
      <c r="E13" s="28">
        <v>53079.50000000001</v>
      </c>
      <c r="F13" s="30">
        <v>6.2</v>
      </c>
      <c r="G13" s="30">
        <v>60435.700000000004</v>
      </c>
      <c r="H13" s="30">
        <v>1920.8</v>
      </c>
      <c r="I13" s="30">
        <v>30191.500000000007</v>
      </c>
      <c r="J13" s="28">
        <v>92548.00000000001</v>
      </c>
      <c r="K13" s="30">
        <v>24553.000000000004</v>
      </c>
      <c r="L13" s="30">
        <v>99.19999999999999</v>
      </c>
      <c r="M13" s="30">
        <v>14.7</v>
      </c>
      <c r="N13" s="28">
        <v>24666.899999999998</v>
      </c>
      <c r="O13" s="30">
        <v>15406.6</v>
      </c>
      <c r="P13" s="28">
        <v>185707.2</v>
      </c>
    </row>
    <row r="14" spans="1:16" ht="18.75">
      <c r="A14" s="27">
        <v>2008</v>
      </c>
      <c r="B14" s="30">
        <v>35556.899999999994</v>
      </c>
      <c r="C14" s="30">
        <v>30272.699999999997</v>
      </c>
      <c r="D14" s="30">
        <v>1001</v>
      </c>
      <c r="E14" s="28">
        <v>66830.6</v>
      </c>
      <c r="F14" s="30">
        <v>381.40000000000003</v>
      </c>
      <c r="G14" s="30">
        <v>73199.09999999999</v>
      </c>
      <c r="H14" s="30">
        <v>2472.1</v>
      </c>
      <c r="I14" s="30">
        <v>41577.1</v>
      </c>
      <c r="J14" s="28">
        <v>117248.29999999997</v>
      </c>
      <c r="K14" s="30">
        <v>32047.7</v>
      </c>
      <c r="L14" s="30">
        <v>1880.6</v>
      </c>
      <c r="M14" s="30">
        <v>0.7</v>
      </c>
      <c r="N14" s="28">
        <v>33929</v>
      </c>
      <c r="O14" s="30">
        <v>18706.199999999997</v>
      </c>
      <c r="P14" s="28">
        <v>237095.49999999997</v>
      </c>
    </row>
    <row r="15" spans="1:16" ht="18.75">
      <c r="A15" s="27">
        <v>2009</v>
      </c>
      <c r="B15" s="30">
        <v>40302.5</v>
      </c>
      <c r="C15" s="30">
        <v>32359.699999999997</v>
      </c>
      <c r="D15" s="30">
        <v>7921.900000000001</v>
      </c>
      <c r="E15" s="28">
        <v>80584.1</v>
      </c>
      <c r="F15" s="30">
        <v>2306.7</v>
      </c>
      <c r="G15" s="30">
        <v>96451.8</v>
      </c>
      <c r="H15" s="30">
        <v>9467.4</v>
      </c>
      <c r="I15" s="30">
        <v>41604.979999999996</v>
      </c>
      <c r="J15" s="28">
        <v>147524.18000000002</v>
      </c>
      <c r="K15" s="30">
        <v>27863</v>
      </c>
      <c r="L15" s="30">
        <v>1456.1</v>
      </c>
      <c r="M15" s="30">
        <v>1.6000000000000003</v>
      </c>
      <c r="N15" s="28">
        <v>29320.699999999993</v>
      </c>
      <c r="O15" s="30">
        <v>29287.600000000006</v>
      </c>
      <c r="P15" s="28">
        <v>289023.27999999997</v>
      </c>
    </row>
    <row r="16" spans="1:16" ht="18.75">
      <c r="A16" s="27">
        <v>2010</v>
      </c>
      <c r="B16" s="30">
        <v>56763.600000000006</v>
      </c>
      <c r="C16" s="30">
        <v>55324.5</v>
      </c>
      <c r="D16" s="30">
        <v>2270.6099999999997</v>
      </c>
      <c r="E16" s="28">
        <v>114358.70999999999</v>
      </c>
      <c r="F16" s="30">
        <v>0</v>
      </c>
      <c r="G16" s="30">
        <v>131797.40000000002</v>
      </c>
      <c r="H16" s="30">
        <v>15754.199999999999</v>
      </c>
      <c r="I16" s="30">
        <v>47577.9</v>
      </c>
      <c r="J16" s="28">
        <v>195129.50000000003</v>
      </c>
      <c r="K16" s="30">
        <v>32770.49999999999</v>
      </c>
      <c r="L16" s="30">
        <v>216.79999999999998</v>
      </c>
      <c r="M16" s="30">
        <v>4153.6</v>
      </c>
      <c r="N16" s="28">
        <v>37140.9</v>
      </c>
      <c r="O16" s="30">
        <v>16458.340000000004</v>
      </c>
      <c r="P16" s="28">
        <v>363087.45000000007</v>
      </c>
    </row>
    <row r="17" spans="1:16" ht="18.75">
      <c r="A17" s="27">
        <v>2011</v>
      </c>
      <c r="B17" s="30">
        <v>70627.48</v>
      </c>
      <c r="C17" s="30">
        <v>52807.56</v>
      </c>
      <c r="D17" s="30">
        <v>536.894</v>
      </c>
      <c r="E17" s="28">
        <v>123971.93400000001</v>
      </c>
      <c r="F17" s="30">
        <v>0</v>
      </c>
      <c r="G17" s="30">
        <v>177327.43699999998</v>
      </c>
      <c r="H17" s="30">
        <v>18473.95</v>
      </c>
      <c r="I17" s="30">
        <v>50113.37200000001</v>
      </c>
      <c r="J17" s="28">
        <v>245914.75900000002</v>
      </c>
      <c r="K17" s="30">
        <v>48829.70999999999</v>
      </c>
      <c r="L17" s="30">
        <v>161.989</v>
      </c>
      <c r="M17" s="30">
        <v>4948.717000000001</v>
      </c>
      <c r="N17" s="28">
        <v>53940.41600000001</v>
      </c>
      <c r="O17" s="30">
        <v>17147.286</v>
      </c>
      <c r="P17" s="28">
        <v>440974.395</v>
      </c>
    </row>
    <row r="18" spans="1:16" ht="18.75">
      <c r="A18" s="27">
        <v>2012</v>
      </c>
      <c r="B18" s="30">
        <v>82530.963959</v>
      </c>
      <c r="C18" s="30">
        <v>72882.840463</v>
      </c>
      <c r="D18" s="30">
        <v>495.33806999999996</v>
      </c>
      <c r="E18" s="28">
        <v>155909.142492</v>
      </c>
      <c r="F18" s="30">
        <v>0</v>
      </c>
      <c r="G18" s="30">
        <v>201428.74414599998</v>
      </c>
      <c r="H18" s="30">
        <v>7024.471613999998</v>
      </c>
      <c r="I18" s="30">
        <v>68253.260706</v>
      </c>
      <c r="J18" s="28">
        <v>276706.476466</v>
      </c>
      <c r="K18" s="30">
        <v>43723.203065</v>
      </c>
      <c r="L18" s="30">
        <v>166.802648</v>
      </c>
      <c r="M18" s="30">
        <v>5931.915192</v>
      </c>
      <c r="N18" s="28">
        <v>49821.920905</v>
      </c>
      <c r="O18" s="30">
        <v>9441.273914</v>
      </c>
      <c r="P18" s="28">
        <v>491878.8137770001</v>
      </c>
    </row>
    <row r="19" spans="1:16" ht="18.75">
      <c r="A19" s="27">
        <v>2013</v>
      </c>
      <c r="B19" s="30">
        <v>92446.15873699999</v>
      </c>
      <c r="C19" s="30">
        <v>53108.49723799999</v>
      </c>
      <c r="D19" s="30">
        <v>460.21938500000005</v>
      </c>
      <c r="E19" s="28">
        <v>146014.87535999998</v>
      </c>
      <c r="F19" s="30">
        <v>0</v>
      </c>
      <c r="G19" s="30">
        <v>211002.12173800005</v>
      </c>
      <c r="H19" s="30">
        <v>7069.947273000001</v>
      </c>
      <c r="I19" s="30">
        <v>87559.618052</v>
      </c>
      <c r="J19" s="28">
        <v>305631.687063</v>
      </c>
      <c r="K19" s="30">
        <v>42439.356132999994</v>
      </c>
      <c r="L19" s="30">
        <v>774.962426</v>
      </c>
      <c r="M19" s="30">
        <v>7719.858403</v>
      </c>
      <c r="N19" s="28">
        <v>50934.176962</v>
      </c>
      <c r="O19" s="30">
        <v>21958.748479</v>
      </c>
      <c r="P19" s="28">
        <v>524539.487864</v>
      </c>
    </row>
    <row r="20" spans="1:16" ht="18.75">
      <c r="A20" s="27">
        <v>2014</v>
      </c>
      <c r="B20" s="30">
        <v>73099.689786</v>
      </c>
      <c r="C20" s="30">
        <v>64131.24515899999</v>
      </c>
      <c r="D20" s="30">
        <v>652.6011350000001</v>
      </c>
      <c r="E20" s="28">
        <v>137883.53608000002</v>
      </c>
      <c r="F20" s="30">
        <v>0</v>
      </c>
      <c r="G20" s="30">
        <v>240205.693079</v>
      </c>
      <c r="H20" s="30">
        <v>17645.827851000002</v>
      </c>
      <c r="I20" s="30">
        <v>92390.94838900001</v>
      </c>
      <c r="J20" s="28">
        <v>350242.469319</v>
      </c>
      <c r="K20" s="30">
        <v>45182.30374399999</v>
      </c>
      <c r="L20" s="30">
        <v>671.26146</v>
      </c>
      <c r="M20" s="30">
        <v>9360.092316999999</v>
      </c>
      <c r="N20" s="28">
        <v>55213.657521</v>
      </c>
      <c r="O20" s="30">
        <v>28867.572836000003</v>
      </c>
      <c r="P20" s="28">
        <v>572207.235756</v>
      </c>
    </row>
    <row r="21" spans="1:16" ht="18.75">
      <c r="A21" s="27">
        <v>2015</v>
      </c>
      <c r="B21" s="30">
        <v>75130.866196</v>
      </c>
      <c r="C21" s="30">
        <v>56464.088286000006</v>
      </c>
      <c r="D21" s="30">
        <v>442.255183</v>
      </c>
      <c r="E21" s="28">
        <v>132037.209665</v>
      </c>
      <c r="F21" s="30">
        <v>0</v>
      </c>
      <c r="G21" s="30">
        <v>208080.400737</v>
      </c>
      <c r="H21" s="30">
        <v>29673.399950999996</v>
      </c>
      <c r="I21" s="30">
        <v>84712.148719</v>
      </c>
      <c r="J21" s="28">
        <v>322465.9494069999</v>
      </c>
      <c r="K21" s="30">
        <v>45671.3438</v>
      </c>
      <c r="L21" s="30">
        <v>120.06989399999999</v>
      </c>
      <c r="M21" s="30">
        <v>7174.923082095999</v>
      </c>
      <c r="N21" s="28">
        <v>52966.336776095995</v>
      </c>
      <c r="O21" s="30">
        <v>36196.67019099999</v>
      </c>
      <c r="P21" s="28">
        <v>543666.166039096</v>
      </c>
    </row>
    <row r="22" spans="1:16" ht="18.75">
      <c r="A22" s="27">
        <v>2016</v>
      </c>
      <c r="B22" s="30">
        <v>75708.51058</v>
      </c>
      <c r="C22" s="30">
        <v>56333.600043000006</v>
      </c>
      <c r="D22" s="30">
        <v>432.87681699999996</v>
      </c>
      <c r="E22" s="28">
        <v>132474.98744</v>
      </c>
      <c r="F22" s="30">
        <v>0</v>
      </c>
      <c r="G22" s="30">
        <v>221771.730841</v>
      </c>
      <c r="H22" s="30">
        <v>33801.12143</v>
      </c>
      <c r="I22" s="30">
        <v>84671.461402</v>
      </c>
      <c r="J22" s="28">
        <v>340244.31367299997</v>
      </c>
      <c r="K22" s="30">
        <v>59111.649819</v>
      </c>
      <c r="L22" s="30">
        <v>425.785607</v>
      </c>
      <c r="M22" s="30">
        <v>7641.225129299617</v>
      </c>
      <c r="N22" s="28">
        <v>67178.66055529962</v>
      </c>
      <c r="O22" s="30">
        <v>44709.6097956058</v>
      </c>
      <c r="P22" s="28">
        <v>584607.5714639055</v>
      </c>
    </row>
    <row r="23" spans="1:16" ht="18.75">
      <c r="A23" s="27">
        <v>2017</v>
      </c>
      <c r="B23" s="30">
        <v>76039.20893800001</v>
      </c>
      <c r="C23" s="30">
        <v>75233.47655099999</v>
      </c>
      <c r="D23" s="30">
        <v>252.987724</v>
      </c>
      <c r="E23" s="28">
        <v>151525.673213</v>
      </c>
      <c r="F23" s="30">
        <v>0</v>
      </c>
      <c r="G23" s="30">
        <v>270127.502271</v>
      </c>
      <c r="H23" s="30">
        <v>65661.699136</v>
      </c>
      <c r="I23" s="30">
        <v>98149.031382</v>
      </c>
      <c r="J23" s="28">
        <v>433938.232789</v>
      </c>
      <c r="K23" s="30">
        <v>57863.7038512</v>
      </c>
      <c r="L23" s="30">
        <v>419.487759</v>
      </c>
      <c r="M23" s="30">
        <v>9791.891835999999</v>
      </c>
      <c r="N23" s="28">
        <v>68075.0834462</v>
      </c>
      <c r="O23" s="30">
        <v>45551.9363318</v>
      </c>
      <c r="P23" s="28">
        <v>699090.92578</v>
      </c>
    </row>
    <row r="24" spans="1:16" ht="18.75">
      <c r="A24" s="27">
        <v>2018</v>
      </c>
      <c r="B24" s="30">
        <v>106417.00184000001</v>
      </c>
      <c r="C24" s="30">
        <v>64979.432357000005</v>
      </c>
      <c r="D24" s="30">
        <v>281.28074499999997</v>
      </c>
      <c r="E24" s="28">
        <v>171677.714942</v>
      </c>
      <c r="F24" s="30">
        <v>0</v>
      </c>
      <c r="G24" s="30">
        <v>300362.39699499996</v>
      </c>
      <c r="H24" s="30">
        <v>68007.49025900001</v>
      </c>
      <c r="I24" s="30">
        <v>110458.273473</v>
      </c>
      <c r="J24" s="28">
        <v>478828.16072700004</v>
      </c>
      <c r="K24" s="30">
        <v>66621.699474</v>
      </c>
      <c r="L24" s="30">
        <v>1099.2117400000002</v>
      </c>
      <c r="M24" s="30">
        <v>8183.306782</v>
      </c>
      <c r="N24" s="28">
        <v>75904.21799599999</v>
      </c>
      <c r="O24" s="30">
        <v>44467.78004600001</v>
      </c>
      <c r="P24" s="28">
        <v>770877.873711</v>
      </c>
    </row>
    <row r="25" spans="1:16" ht="18.75">
      <c r="A25" s="27">
        <v>2019</v>
      </c>
      <c r="B25" s="30">
        <f>SUM(Monthly!B175:B186)</f>
        <v>147127.59443</v>
      </c>
      <c r="C25" s="30">
        <f>SUM(Monthly!C175:C186)</f>
        <v>70668.635568</v>
      </c>
      <c r="D25" s="30">
        <f>SUM(Monthly!D175:D186)</f>
        <v>216.05182599999998</v>
      </c>
      <c r="E25" s="30">
        <f>SUM(Monthly!E175:E186)</f>
        <v>218012.281824</v>
      </c>
      <c r="F25" s="30">
        <f>SUM(Monthly!F175:F186)</f>
        <v>0</v>
      </c>
      <c r="G25" s="30">
        <f>SUM(Monthly!G175:G186)</f>
        <v>340843.095225</v>
      </c>
      <c r="H25" s="30">
        <f>SUM(Monthly!H175:H186)</f>
        <v>74327.368783</v>
      </c>
      <c r="I25" s="30">
        <f>SUM(Monthly!I175:I186)</f>
        <v>115720.794169</v>
      </c>
      <c r="J25" s="30">
        <f>SUM(Monthly!J175:J186)</f>
        <v>530891.258177</v>
      </c>
      <c r="K25" s="30">
        <f>SUM(Monthly!K175:K186)</f>
        <v>82159.87527082993</v>
      </c>
      <c r="L25" s="30">
        <f>SUM(Monthly!L175:L186)</f>
        <v>323.99798999999996</v>
      </c>
      <c r="M25" s="30">
        <f>SUM(Monthly!M175:M186)</f>
        <v>8322.499049726752</v>
      </c>
      <c r="N25" s="30">
        <f>SUM(Monthly!N175:N186)</f>
        <v>90806.37231055668</v>
      </c>
      <c r="O25" s="30">
        <f>SUM(Monthly!O175:O186)</f>
        <v>50742.40523800001</v>
      </c>
      <c r="P25" s="30">
        <f>SUM(Monthly!P175:P186)</f>
        <v>890452.3175495567</v>
      </c>
    </row>
    <row r="26" spans="1:16" ht="18.75">
      <c r="A26" s="27">
        <v>2020</v>
      </c>
      <c r="B26" s="30">
        <f>SUM(Monthly!B187:B198)</f>
        <v>139866.51336500002</v>
      </c>
      <c r="C26" s="30">
        <f>SUM(Monthly!C187:C198)</f>
        <v>78461.23711256</v>
      </c>
      <c r="D26" s="30">
        <f>SUM(Monthly!D187:D198)</f>
        <v>193.414963</v>
      </c>
      <c r="E26" s="30">
        <f>SUM(Monthly!E187:E198)</f>
        <v>218521.16544056</v>
      </c>
      <c r="F26" s="30">
        <f>SUM(Monthly!F187:F198)</f>
        <v>0</v>
      </c>
      <c r="G26" s="30">
        <f>SUM(Monthly!G187:G198)</f>
        <v>370183.717008</v>
      </c>
      <c r="H26" s="30">
        <f>SUM(Monthly!H187:H198)</f>
        <v>78691.693443</v>
      </c>
      <c r="I26" s="30">
        <f>SUM(Monthly!I187:I198)</f>
        <v>123734.11372200001</v>
      </c>
      <c r="J26" s="30">
        <f>SUM(Monthly!J187:J198)</f>
        <v>572609.5241729999</v>
      </c>
      <c r="K26" s="30">
        <f>SUM(Monthly!K187:K198)</f>
        <v>114162.726422</v>
      </c>
      <c r="L26" s="30">
        <f>SUM(Monthly!L187:L198)</f>
        <v>187.459417</v>
      </c>
      <c r="M26" s="30">
        <f>SUM(Monthly!M187:M198)</f>
        <v>7434.426869774493</v>
      </c>
      <c r="N26" s="30">
        <f>SUM(Monthly!N187:N198)</f>
        <v>121784.61270877448</v>
      </c>
      <c r="O26" s="30">
        <f>SUM(Monthly!O187:O198)</f>
        <v>57575.652846803205</v>
      </c>
      <c r="P26" s="30">
        <f>SUM(Monthly!P187:P198)</f>
        <v>970490.9551691376</v>
      </c>
    </row>
    <row r="27" spans="1:16" ht="18.75">
      <c r="A27" s="27">
        <v>2021</v>
      </c>
      <c r="B27" s="30">
        <f>SUM(Monthly!B199:B210)</f>
        <v>140723.39070500003</v>
      </c>
      <c r="C27" s="30">
        <f>SUM(Monthly!C199:C210)</f>
        <v>89020.42372147001</v>
      </c>
      <c r="D27" s="30">
        <f>SUM(Monthly!D199:D210)</f>
        <v>321.04904000000005</v>
      </c>
      <c r="E27" s="30">
        <f>SUM(Monthly!E199:E210)</f>
        <v>230064.86346647</v>
      </c>
      <c r="F27" s="30">
        <f>SUM(Monthly!F199:F210)</f>
        <v>0</v>
      </c>
      <c r="G27" s="30">
        <f>SUM(Monthly!G199:G210)</f>
        <v>438001.151381</v>
      </c>
      <c r="H27" s="30">
        <f>SUM(Monthly!H199:H210)</f>
        <v>91579.203417</v>
      </c>
      <c r="I27" s="30">
        <f>SUM(Monthly!I199:I210)</f>
        <v>128978.570353</v>
      </c>
      <c r="J27" s="30">
        <f>SUM(Monthly!J199:J210)</f>
        <v>658558.9251509998</v>
      </c>
      <c r="K27" s="30">
        <f>SUM(Monthly!K199:K210)</f>
        <v>123091.27805200001</v>
      </c>
      <c r="L27" s="30">
        <f>SUM(Monthly!L199:L210)</f>
        <v>416.698105</v>
      </c>
      <c r="M27" s="30">
        <f>SUM(Monthly!M199:M210)</f>
        <v>6504.6594830011845</v>
      </c>
      <c r="N27" s="30">
        <f>SUM(Monthly!N199:N210)</f>
        <v>130012.63564000117</v>
      </c>
      <c r="O27" s="30">
        <f>SUM(Monthly!O199:O210)</f>
        <v>80235.0987144812</v>
      </c>
      <c r="P27" s="30">
        <f>SUM(Monthly!P199:P210)</f>
        <v>1098871.5229719523</v>
      </c>
    </row>
    <row r="28" spans="1:16" s="1" customFormat="1" ht="15.75">
      <c r="A28" s="58" t="s">
        <v>44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</row>
  </sheetData>
  <sheetProtection/>
  <mergeCells count="9">
    <mergeCell ref="A28:P28"/>
    <mergeCell ref="B4:I4"/>
    <mergeCell ref="O6:O7"/>
    <mergeCell ref="P6:P7"/>
    <mergeCell ref="A6:A7"/>
    <mergeCell ref="B6:E6"/>
    <mergeCell ref="F6:F7"/>
    <mergeCell ref="G6:J6"/>
    <mergeCell ref="K6:N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KEZAMUTIMA Jean Pacifique</cp:lastModifiedBy>
  <cp:lastPrinted>2016-03-24T09:51:46Z</cp:lastPrinted>
  <dcterms:created xsi:type="dcterms:W3CDTF">2000-08-14T07:37:35Z</dcterms:created>
  <dcterms:modified xsi:type="dcterms:W3CDTF">2022-11-20T15:14:26Z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