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'A'!$A$2:$GS$89</definedName>
    <definedName name="Zone_impres_MI" localSheetId="0">'A'!$A$2:$G$47</definedName>
  </definedNames>
  <calcPr fullCalcOnLoad="1"/>
</workbook>
</file>

<file path=xl/sharedStrings.xml><?xml version="1.0" encoding="utf-8"?>
<sst xmlns="http://schemas.openxmlformats.org/spreadsheetml/2006/main" count="1135" uniqueCount="136">
  <si>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</si>
  <si>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</si>
  <si>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</si>
  <si>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</si>
  <si>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</si>
  <si>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</si>
  <si>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</si>
  <si>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</si>
  <si>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</si>
  <si>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</si>
  <si>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</si>
  <si>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</si>
  <si>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</si>
  <si>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</si>
  <si>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</si>
  <si>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</si>
  <si>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</si>
  <si>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</si>
  <si>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</si>
  <si>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</si>
  <si>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</si>
  <si>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</si>
  <si>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</si>
  <si>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</si>
  <si>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</si>
  <si>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</si>
  <si>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</si>
  <si>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</si>
  <si>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</si>
  <si>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</si>
  <si>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</si>
  <si>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</si>
  <si>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</si>
  <si>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</si>
  <si>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</si>
  <si>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</si>
  <si>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</si>
  <si>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</si>
  <si>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</si>
  <si>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</si>
  <si>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</si>
  <si>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</si>
  <si>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</si>
  <si>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</si>
  <si>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</si>
  <si>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</si>
  <si>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</si>
  <si>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</si>
  <si>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</si>
  <si>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</si>
  <si>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</si>
  <si>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</si>
  <si>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</si>
  <si>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</si>
  <si>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</si>
  <si>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</si>
  <si>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</si>
  <si>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</si>
  <si>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</si>
  <si>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</si>
  <si>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</si>
  <si>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</si>
  <si>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</si>
  <si>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</si>
  <si>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</si>
  <si>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</si>
  <si>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</si>
  <si>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</si>
  <si>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</si>
  <si>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</si>
  <si>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</si>
  <si>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</si>
  <si>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</si>
  <si>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</si>
  <si>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</si>
  <si>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</si>
  <si>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</si>
  <si>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</si>
  <si>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</si>
  <si>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</si>
  <si>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</si>
  <si>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</si>
  <si>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</si>
  <si>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</si>
  <si>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</si>
  <si>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</si>
  <si>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</si>
  <si>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 xml:space="preserve"> A.  EXPORTATIONS PAR RUBRIQUES DOUANIERES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</si>
  <si>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</si>
  <si>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</si>
  <si>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</si>
  <si>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</si>
  <si>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</si>
  <si>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</si>
  <si>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</si>
  <si>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marchandises</t>
  </si>
  <si>
    <t xml:space="preserve">       IV.8</t>
  </si>
  <si>
    <t>octobre</t>
  </si>
  <si>
    <t>novembre</t>
  </si>
  <si>
    <t>décembre</t>
  </si>
  <si>
    <t>janvier</t>
  </si>
  <si>
    <t>jan -Décembre</t>
  </si>
  <si>
    <t>252329</t>
  </si>
  <si>
    <t>Ciment portland autre que blanc</t>
  </si>
  <si>
    <t>1101</t>
  </si>
  <si>
    <t>Farine de blé</t>
  </si>
  <si>
    <t>1102</t>
  </si>
  <si>
    <t>Farine de maîs</t>
  </si>
  <si>
    <t>jan-décembre</t>
  </si>
  <si>
    <t>fevr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</si>
  <si>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</si>
  <si>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</si>
  <si>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</si>
  <si>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</si>
  <si>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</si>
  <si>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</si>
  <si>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</si>
  <si>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</si>
  <si>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</si>
  <si>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</si>
  <si>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janv-dec</t>
  </si>
  <si>
    <t xml:space="preserve"> B.  EXPORTATIONS PAR RUBRIQUES DOUANIERES</t>
  </si>
  <si>
    <t>février</t>
  </si>
  <si>
    <t>Or non monétaire</t>
  </si>
  <si>
    <t>7010930</t>
  </si>
  <si>
    <t>71081200</t>
  </si>
  <si>
    <t>(en MBIF)</t>
  </si>
  <si>
    <t xml:space="preserve">Café marchand </t>
  </si>
  <si>
    <r>
      <t>Thé</t>
    </r>
    <r>
      <rPr>
        <vertAlign val="superscript"/>
        <sz val="12"/>
        <rFont val="Calibri"/>
        <family val="2"/>
      </rPr>
      <t xml:space="preserve"> (1)</t>
    </r>
  </si>
  <si>
    <r>
      <t>Thé</t>
    </r>
    <r>
      <rPr>
        <vertAlign val="superscript"/>
        <sz val="12"/>
        <rFont val="Calibri"/>
        <family val="2"/>
      </rPr>
      <t xml:space="preserve"> </t>
    </r>
  </si>
  <si>
    <r>
      <t>Autres articles</t>
    </r>
    <r>
      <rPr>
        <vertAlign val="superscript"/>
        <sz val="12"/>
        <rFont val="Calibri"/>
        <family val="2"/>
      </rPr>
      <t xml:space="preserve"> (1)</t>
    </r>
  </si>
  <si>
    <t>(en T)</t>
  </si>
  <si>
    <t>(1) : Non compris les effets personnels</t>
  </si>
  <si>
    <t>Jan-Avril</t>
  </si>
  <si>
    <t>Kérosène</t>
  </si>
  <si>
    <t>Sources : OBR, OTB et Interpetrol energy SA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</si>
</sst>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_-* #,##0.000\ _€_-;\-* #,##0.000\ _€_-;_-* &quot;-&quot;???\ _€_-;_-@_-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u val="singleAccounting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1">
    <xf numFmtId="181" fontId="0" fillId="0" borderId="0" xfId="0" applyAlignment="1">
      <alignment/>
    </xf>
    <xf numFmtId="181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1" fontId="2" fillId="0" borderId="0" xfId="0" applyFont="1" applyAlignment="1">
      <alignment horizontal="center"/>
    </xf>
    <xf numFmtId="181" fontId="3" fillId="0" borderId="0" xfId="0" applyFont="1" applyAlignment="1">
      <alignment/>
    </xf>
    <xf numFmtId="181" fontId="2" fillId="0" borderId="0" xfId="0" applyFont="1" applyAlignment="1">
      <alignment horizontal="right"/>
    </xf>
    <xf numFmtId="181" fontId="2" fillId="0" borderId="10" xfId="0" applyFont="1" applyBorder="1" applyAlignment="1">
      <alignment horizontal="right"/>
    </xf>
    <xf numFmtId="181" fontId="2" fillId="0" borderId="10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1" xfId="0" applyFont="1" applyBorder="1" applyAlignment="1">
      <alignment/>
    </xf>
    <xf numFmtId="181" fontId="2" fillId="0" borderId="12" xfId="0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Font="1" applyBorder="1" applyAlignment="1">
      <alignment horizontal="center"/>
    </xf>
    <xf numFmtId="181" fontId="3" fillId="0" borderId="12" xfId="0" applyFont="1" applyBorder="1" applyAlignment="1">
      <alignment/>
    </xf>
    <xf numFmtId="181" fontId="2" fillId="0" borderId="12" xfId="0" applyFont="1" applyBorder="1" applyAlignment="1">
      <alignment horizontal="right"/>
    </xf>
    <xf numFmtId="181" fontId="3" fillId="0" borderId="13" xfId="0" applyFont="1" applyBorder="1" applyAlignment="1">
      <alignment horizontal="fill"/>
    </xf>
    <xf numFmtId="181" fontId="2" fillId="0" borderId="10" xfId="0" applyFont="1" applyBorder="1" applyAlignment="1">
      <alignment horizontal="fill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fill"/>
    </xf>
    <xf numFmtId="181" fontId="2" fillId="0" borderId="10" xfId="0" applyFont="1" applyBorder="1" applyAlignment="1">
      <alignment horizontal="center"/>
    </xf>
    <xf numFmtId="181" fontId="3" fillId="0" borderId="10" xfId="0" applyFont="1" applyBorder="1" applyAlignment="1">
      <alignment/>
    </xf>
    <xf numFmtId="181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5" xfId="0" applyFont="1" applyBorder="1" applyAlignment="1">
      <alignment horizontal="center"/>
    </xf>
    <xf numFmtId="181" fontId="2" fillId="0" borderId="15" xfId="0" applyFont="1" applyBorder="1" applyAlignment="1">
      <alignment horizontal="right"/>
    </xf>
    <xf numFmtId="181" fontId="3" fillId="0" borderId="15" xfId="0" applyFont="1" applyBorder="1" applyAlignment="1">
      <alignment/>
    </xf>
    <xf numFmtId="181" fontId="2" fillId="0" borderId="16" xfId="0" applyFont="1" applyBorder="1" applyAlignment="1">
      <alignment horizontal="right"/>
    </xf>
    <xf numFmtId="181" fontId="2" fillId="0" borderId="14" xfId="0" applyFont="1" applyBorder="1" applyAlignment="1">
      <alignment horizontal="right"/>
    </xf>
    <xf numFmtId="181" fontId="2" fillId="0" borderId="11" xfId="0" applyFont="1" applyBorder="1" applyAlignment="1">
      <alignment horizontal="right"/>
    </xf>
    <xf numFmtId="181" fontId="2" fillId="0" borderId="0" xfId="0" applyFont="1" applyBorder="1" applyAlignment="1">
      <alignment horizontal="right"/>
    </xf>
    <xf numFmtId="181" fontId="2" fillId="0" borderId="14" xfId="0" applyFont="1" applyBorder="1" applyAlignment="1">
      <alignment horizontal="left"/>
    </xf>
    <xf numFmtId="181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2" fillId="0" borderId="16" xfId="0" applyFont="1" applyBorder="1" applyAlignment="1">
      <alignment horizontal="center"/>
    </xf>
    <xf numFmtId="181" fontId="2" fillId="0" borderId="0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1" fontId="2" fillId="0" borderId="16" xfId="0" applyFont="1" applyBorder="1" applyAlignment="1" quotePrefix="1">
      <alignment horizontal="right"/>
    </xf>
    <xf numFmtId="1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181" fontId="3" fillId="0" borderId="16" xfId="0" applyFont="1" applyFill="1" applyBorder="1" applyAlignment="1">
      <alignment horizontal="center"/>
    </xf>
    <xf numFmtId="181" fontId="2" fillId="0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 horizontal="right"/>
    </xf>
    <xf numFmtId="181" fontId="2" fillId="0" borderId="17" xfId="0" applyFont="1" applyBorder="1" applyAlignment="1">
      <alignment horizontal="center"/>
    </xf>
    <xf numFmtId="181" fontId="2" fillId="0" borderId="17" xfId="0" applyFont="1" applyBorder="1" applyAlignment="1">
      <alignment horizontal="right"/>
    </xf>
    <xf numFmtId="181" fontId="2" fillId="0" borderId="18" xfId="0" applyFont="1" applyBorder="1" applyAlignment="1">
      <alignment/>
    </xf>
    <xf numFmtId="181" fontId="2" fillId="0" borderId="13" xfId="0" applyFont="1" applyBorder="1" applyAlignment="1">
      <alignment/>
    </xf>
    <xf numFmtId="183" fontId="2" fillId="0" borderId="18" xfId="0" applyNumberFormat="1" applyFont="1" applyBorder="1" applyAlignment="1">
      <alignment/>
    </xf>
    <xf numFmtId="181" fontId="2" fillId="0" borderId="18" xfId="0" applyFont="1" applyBorder="1" applyAlignment="1">
      <alignment horizontal="center"/>
    </xf>
    <xf numFmtId="181" fontId="2" fillId="0" borderId="18" xfId="0" applyFont="1" applyBorder="1" applyAlignment="1">
      <alignment horizontal="right"/>
    </xf>
    <xf numFmtId="181" fontId="3" fillId="0" borderId="18" xfId="0" applyFont="1" applyBorder="1" applyAlignment="1">
      <alignment/>
    </xf>
    <xf numFmtId="181" fontId="2" fillId="0" borderId="13" xfId="0" applyFont="1" applyBorder="1" applyAlignment="1">
      <alignment horizontal="right"/>
    </xf>
    <xf numFmtId="183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1" fontId="2" fillId="0" borderId="17" xfId="0" applyFont="1" applyBorder="1" applyAlignment="1">
      <alignment/>
    </xf>
    <xf numFmtId="184" fontId="2" fillId="0" borderId="16" xfId="0" applyNumberFormat="1" applyFont="1" applyFill="1" applyBorder="1" applyAlignment="1">
      <alignment/>
    </xf>
    <xf numFmtId="181" fontId="2" fillId="0" borderId="16" xfId="0" applyFont="1" applyBorder="1" applyAlignment="1">
      <alignment horizontal="left"/>
    </xf>
    <xf numFmtId="180" fontId="2" fillId="0" borderId="0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Fill="1" applyBorder="1" applyAlignment="1">
      <alignment horizontal="right"/>
    </xf>
    <xf numFmtId="181" fontId="2" fillId="0" borderId="14" xfId="0" applyFont="1" applyFill="1" applyBorder="1" applyAlignment="1">
      <alignment horizontal="left"/>
    </xf>
    <xf numFmtId="181" fontId="2" fillId="33" borderId="16" xfId="0" applyFont="1" applyFill="1" applyBorder="1" applyAlignment="1">
      <alignment horizontal="left"/>
    </xf>
    <xf numFmtId="180" fontId="2" fillId="0" borderId="0" xfId="0" applyNumberFormat="1" applyFont="1" applyFill="1" applyBorder="1" applyAlignment="1" applyProtection="1">
      <alignment horizontal="center"/>
      <protection/>
    </xf>
    <xf numFmtId="183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/>
    </xf>
    <xf numFmtId="181" fontId="2" fillId="0" borderId="0" xfId="0" applyFont="1" applyFill="1" applyAlignment="1">
      <alignment/>
    </xf>
    <xf numFmtId="184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1" fontId="2" fillId="33" borderId="14" xfId="0" applyFont="1" applyFill="1" applyBorder="1" applyAlignment="1">
      <alignment horizontal="left"/>
    </xf>
    <xf numFmtId="184" fontId="2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181" fontId="2" fillId="0" borderId="13" xfId="0" applyFont="1" applyBorder="1" applyAlignment="1">
      <alignment horizontal="fill"/>
    </xf>
    <xf numFmtId="181" fontId="2" fillId="0" borderId="18" xfId="0" applyFont="1" applyBorder="1" applyAlignment="1">
      <alignment horizontal="fill"/>
    </xf>
    <xf numFmtId="180" fontId="2" fillId="0" borderId="10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>
      <alignment horizontal="center"/>
    </xf>
    <xf numFmtId="183" fontId="2" fillId="0" borderId="18" xfId="0" applyNumberFormat="1" applyFont="1" applyBorder="1" applyAlignment="1" applyProtection="1">
      <alignment horizontal="center"/>
      <protection/>
    </xf>
    <xf numFmtId="180" fontId="2" fillId="0" borderId="18" xfId="0" applyNumberFormat="1" applyFont="1" applyBorder="1" applyAlignment="1" applyProtection="1">
      <alignment horizontal="center"/>
      <protection/>
    </xf>
    <xf numFmtId="184" fontId="2" fillId="0" borderId="18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9" xfId="0" applyNumberFormat="1" applyFont="1" applyBorder="1" applyAlignment="1" quotePrefix="1">
      <alignment horizontal="right"/>
    </xf>
    <xf numFmtId="184" fontId="2" fillId="0" borderId="18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4" fontId="2" fillId="0" borderId="14" xfId="0" applyNumberFormat="1" applyFont="1" applyBorder="1" applyAlignment="1">
      <alignment/>
    </xf>
    <xf numFmtId="181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/>
    </xf>
    <xf numFmtId="181" fontId="3" fillId="0" borderId="16" xfId="0" applyFont="1" applyBorder="1" applyAlignment="1">
      <alignment horizontal="left"/>
    </xf>
    <xf numFmtId="180" fontId="3" fillId="0" borderId="0" xfId="0" applyNumberFormat="1" applyFont="1" applyBorder="1" applyAlignment="1" applyProtection="1">
      <alignment horizontal="center"/>
      <protection/>
    </xf>
    <xf numFmtId="183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 applyProtection="1">
      <alignment horizontal="center"/>
      <protection/>
    </xf>
    <xf numFmtId="184" fontId="3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right"/>
      <protection/>
    </xf>
    <xf numFmtId="184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1" fontId="2" fillId="0" borderId="13" xfId="0" applyFont="1" applyBorder="1" applyAlignment="1">
      <alignment horizontal="center"/>
    </xf>
    <xf numFmtId="181" fontId="2" fillId="0" borderId="14" xfId="0" applyFont="1" applyBorder="1" applyAlignment="1">
      <alignment horizontal="fill"/>
    </xf>
    <xf numFmtId="4" fontId="2" fillId="0" borderId="12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1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85" fontId="2" fillId="0" borderId="16" xfId="0" applyNumberFormat="1" applyFont="1" applyBorder="1" applyAlignment="1">
      <alignment horizontal="right"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right"/>
      <protection/>
    </xf>
    <xf numFmtId="3" fontId="2" fillId="0" borderId="1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81" fontId="2" fillId="0" borderId="16" xfId="0" applyFont="1" applyFill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 horizontal="left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right"/>
    </xf>
    <xf numFmtId="181" fontId="2" fillId="0" borderId="11" xfId="0" applyFont="1" applyBorder="1" applyAlignment="1">
      <alignment horizontal="fill"/>
    </xf>
    <xf numFmtId="181" fontId="2" fillId="0" borderId="12" xfId="0" applyFont="1" applyBorder="1" applyAlignment="1">
      <alignment horizontal="fill"/>
    </xf>
    <xf numFmtId="37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Font="1" applyBorder="1" applyAlignment="1">
      <alignment horizontal="right"/>
    </xf>
    <xf numFmtId="181" fontId="3" fillId="0" borderId="0" xfId="0" applyFont="1" applyBorder="1" applyAlignment="1">
      <alignment/>
    </xf>
    <xf numFmtId="182" fontId="2" fillId="0" borderId="14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191" fontId="2" fillId="0" borderId="16" xfId="42" applyNumberFormat="1" applyFont="1" applyBorder="1" applyAlignment="1">
      <alignment horizontal="right"/>
    </xf>
    <xf numFmtId="192" fontId="2" fillId="0" borderId="16" xfId="42" applyNumberFormat="1" applyFont="1" applyBorder="1" applyAlignment="1">
      <alignment horizontal="right"/>
    </xf>
    <xf numFmtId="191" fontId="2" fillId="0" borderId="14" xfId="42" applyNumberFormat="1" applyFont="1" applyBorder="1" applyAlignment="1">
      <alignment horizontal="right"/>
    </xf>
    <xf numFmtId="181" fontId="3" fillId="0" borderId="12" xfId="0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1" fontId="2" fillId="0" borderId="20" xfId="0" applyFont="1" applyBorder="1" applyAlignment="1">
      <alignment/>
    </xf>
    <xf numFmtId="181" fontId="2" fillId="0" borderId="19" xfId="0" applyFont="1" applyBorder="1" applyAlignment="1">
      <alignment/>
    </xf>
    <xf numFmtId="191" fontId="2" fillId="0" borderId="16" xfId="42" applyNumberFormat="1" applyFont="1" applyBorder="1" applyAlignment="1">
      <alignment/>
    </xf>
    <xf numFmtId="191" fontId="2" fillId="0" borderId="18" xfId="42" applyNumberFormat="1" applyFont="1" applyBorder="1" applyAlignment="1">
      <alignment horizontal="right"/>
    </xf>
    <xf numFmtId="191" fontId="2" fillId="0" borderId="15" xfId="42" applyNumberFormat="1" applyFont="1" applyBorder="1" applyAlignment="1">
      <alignment horizontal="right"/>
    </xf>
    <xf numFmtId="191" fontId="2" fillId="0" borderId="15" xfId="42" applyNumberFormat="1" applyFont="1" applyBorder="1" applyAlignment="1">
      <alignment/>
    </xf>
    <xf numFmtId="191" fontId="3" fillId="0" borderId="16" xfId="42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center"/>
    </xf>
    <xf numFmtId="181" fontId="2" fillId="0" borderId="0" xfId="0" applyFont="1" applyBorder="1" applyAlignment="1">
      <alignment/>
    </xf>
    <xf numFmtId="182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91" fontId="2" fillId="0" borderId="0" xfId="42" applyNumberFormat="1" applyFont="1" applyBorder="1" applyAlignment="1">
      <alignment horizontal="right"/>
    </xf>
    <xf numFmtId="191" fontId="3" fillId="0" borderId="14" xfId="42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center"/>
    </xf>
    <xf numFmtId="183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181" fontId="3" fillId="0" borderId="16" xfId="0" applyFont="1" applyBorder="1" applyAlignment="1">
      <alignment horizontal="right"/>
    </xf>
    <xf numFmtId="192" fontId="3" fillId="0" borderId="16" xfId="42" applyNumberFormat="1" applyFont="1" applyFill="1" applyBorder="1" applyAlignment="1">
      <alignment horizontal="right"/>
    </xf>
    <xf numFmtId="43" fontId="2" fillId="0" borderId="0" xfId="42" applyFont="1" applyBorder="1" applyAlignment="1">
      <alignment horizontal="right"/>
    </xf>
    <xf numFmtId="191" fontId="2" fillId="0" borderId="17" xfId="42" applyNumberFormat="1" applyFont="1" applyBorder="1" applyAlignment="1">
      <alignment/>
    </xf>
    <xf numFmtId="191" fontId="2" fillId="0" borderId="14" xfId="42" applyNumberFormat="1" applyFont="1" applyFill="1" applyBorder="1" applyAlignment="1">
      <alignment horizontal="right"/>
    </xf>
    <xf numFmtId="192" fontId="2" fillId="0" borderId="15" xfId="42" applyNumberFormat="1" applyFont="1" applyBorder="1" applyAlignment="1">
      <alignment horizontal="right"/>
    </xf>
    <xf numFmtId="192" fontId="2" fillId="0" borderId="16" xfId="42" applyNumberFormat="1" applyFont="1" applyFill="1" applyBorder="1" applyAlignment="1">
      <alignment horizontal="right"/>
    </xf>
    <xf numFmtId="181" fontId="2" fillId="0" borderId="16" xfId="0" applyFont="1" applyFill="1" applyBorder="1" applyAlignment="1">
      <alignment horizontal="left"/>
    </xf>
    <xf numFmtId="192" fontId="3" fillId="0" borderId="14" xfId="42" applyNumberFormat="1" applyFont="1" applyFill="1" applyBorder="1" applyAlignment="1">
      <alignment horizontal="right"/>
    </xf>
    <xf numFmtId="43" fontId="2" fillId="0" borderId="0" xfId="42" applyFont="1" applyAlignment="1">
      <alignment/>
    </xf>
    <xf numFmtId="191" fontId="3" fillId="0" borderId="16" xfId="42" applyNumberFormat="1" applyFont="1" applyFill="1" applyBorder="1" applyAlignment="1">
      <alignment horizontal="right"/>
    </xf>
    <xf numFmtId="191" fontId="2" fillId="0" borderId="14" xfId="42" applyNumberFormat="1" applyFont="1" applyBorder="1" applyAlignment="1">
      <alignment horizontal="center" vertical="top"/>
    </xf>
    <xf numFmtId="191" fontId="2" fillId="0" borderId="16" xfId="42" applyNumberFormat="1" applyFont="1" applyBorder="1" applyAlignment="1">
      <alignment horizontal="center" vertical="top"/>
    </xf>
    <xf numFmtId="191" fontId="2" fillId="0" borderId="16" xfId="42" applyNumberFormat="1" applyFont="1" applyFill="1" applyBorder="1" applyAlignment="1">
      <alignment horizontal="center" vertical="top"/>
    </xf>
    <xf numFmtId="192" fontId="2" fillId="0" borderId="16" xfId="42" applyNumberFormat="1" applyFont="1" applyBorder="1" applyAlignment="1">
      <alignment horizontal="center"/>
    </xf>
    <xf numFmtId="192" fontId="2" fillId="0" borderId="16" xfId="42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92" fontId="8" fillId="0" borderId="18" xfId="42" applyNumberFormat="1" applyFont="1" applyBorder="1" applyAlignment="1">
      <alignment horizontal="center"/>
    </xf>
    <xf numFmtId="43" fontId="2" fillId="0" borderId="10" xfId="42" applyFont="1" applyBorder="1" applyAlignment="1">
      <alignment/>
    </xf>
    <xf numFmtId="43" fontId="2" fillId="0" borderId="19" xfId="42" applyFont="1" applyBorder="1" applyAlignment="1">
      <alignment/>
    </xf>
    <xf numFmtId="192" fontId="2" fillId="0" borderId="18" xfId="42" applyNumberFormat="1" applyFont="1" applyBorder="1" applyAlignment="1">
      <alignment horizontal="center"/>
    </xf>
    <xf numFmtId="43" fontId="2" fillId="0" borderId="0" xfId="42" applyFont="1" applyBorder="1" applyAlignment="1">
      <alignment/>
    </xf>
    <xf numFmtId="191" fontId="2" fillId="0" borderId="14" xfId="42" applyNumberFormat="1" applyFont="1" applyBorder="1" applyAlignment="1">
      <alignment horizontal="center"/>
    </xf>
    <xf numFmtId="191" fontId="2" fillId="0" borderId="16" xfId="42" applyNumberFormat="1" applyFont="1" applyBorder="1" applyAlignment="1">
      <alignment horizontal="center"/>
    </xf>
    <xf numFmtId="191" fontId="2" fillId="0" borderId="17" xfId="42" applyNumberFormat="1" applyFont="1" applyBorder="1" applyAlignment="1">
      <alignment horizontal="center"/>
    </xf>
    <xf numFmtId="191" fontId="2" fillId="0" borderId="16" xfId="42" applyNumberFormat="1" applyFont="1" applyFill="1" applyBorder="1" applyAlignment="1">
      <alignment horizontal="center"/>
    </xf>
    <xf numFmtId="191" fontId="2" fillId="0" borderId="14" xfId="42" applyNumberFormat="1" applyFont="1" applyFill="1" applyBorder="1" applyAlignment="1">
      <alignment horizontal="center"/>
    </xf>
    <xf numFmtId="191" fontId="2" fillId="0" borderId="0" xfId="42" applyNumberFormat="1" applyFont="1" applyBorder="1" applyAlignment="1">
      <alignment horizontal="center"/>
    </xf>
    <xf numFmtId="191" fontId="2" fillId="0" borderId="0" xfId="42" applyNumberFormat="1" applyFont="1" applyFill="1" applyBorder="1" applyAlignment="1" applyProtection="1">
      <alignment horizontal="center"/>
      <protection/>
    </xf>
    <xf numFmtId="191" fontId="2" fillId="0" borderId="0" xfId="42" applyNumberFormat="1" applyFont="1" applyFill="1" applyBorder="1" applyAlignment="1" applyProtection="1" quotePrefix="1">
      <alignment horizontal="center"/>
      <protection/>
    </xf>
    <xf numFmtId="191" fontId="2" fillId="0" borderId="0" xfId="42" applyNumberFormat="1" applyFont="1" applyFill="1" applyBorder="1" applyAlignment="1">
      <alignment horizontal="center"/>
    </xf>
    <xf numFmtId="191" fontId="2" fillId="0" borderId="0" xfId="42" applyNumberFormat="1" applyFont="1" applyFill="1" applyBorder="1" applyAlignment="1" quotePrefix="1">
      <alignment horizontal="center"/>
    </xf>
    <xf numFmtId="191" fontId="2" fillId="0" borderId="17" xfId="42" applyNumberFormat="1" applyFont="1" applyFill="1" applyBorder="1" applyAlignment="1">
      <alignment horizontal="center"/>
    </xf>
    <xf numFmtId="191" fontId="4" fillId="0" borderId="16" xfId="42" applyNumberFormat="1" applyFont="1" applyFill="1" applyBorder="1" applyAlignment="1">
      <alignment horizontal="center"/>
    </xf>
    <xf numFmtId="191" fontId="2" fillId="34" borderId="16" xfId="42" applyNumberFormat="1" applyFont="1" applyFill="1" applyBorder="1" applyAlignment="1">
      <alignment horizontal="center"/>
    </xf>
    <xf numFmtId="191" fontId="2" fillId="35" borderId="16" xfId="42" applyNumberFormat="1" applyFont="1" applyFill="1" applyBorder="1" applyAlignment="1">
      <alignment horizontal="center"/>
    </xf>
    <xf numFmtId="191" fontId="2" fillId="0" borderId="0" xfId="42" applyNumberFormat="1" applyFont="1" applyBorder="1" applyAlignment="1" quotePrefix="1">
      <alignment horizontal="center"/>
    </xf>
    <xf numFmtId="191" fontId="7" fillId="0" borderId="0" xfId="42" applyNumberFormat="1" applyFont="1" applyFill="1" applyBorder="1" applyAlignment="1">
      <alignment horizontal="center"/>
    </xf>
    <xf numFmtId="191" fontId="2" fillId="36" borderId="0" xfId="42" applyNumberFormat="1" applyFont="1" applyFill="1" applyBorder="1" applyAlignment="1" quotePrefix="1">
      <alignment horizontal="center"/>
    </xf>
    <xf numFmtId="191" fontId="5" fillId="0" borderId="16" xfId="42" applyNumberFormat="1" applyFont="1" applyFill="1" applyBorder="1" applyAlignment="1">
      <alignment horizontal="center" wrapText="1"/>
    </xf>
    <xf numFmtId="181" fontId="3" fillId="0" borderId="20" xfId="0" applyFont="1" applyBorder="1" applyAlignment="1">
      <alignment/>
    </xf>
    <xf numFmtId="43" fontId="2" fillId="0" borderId="16" xfId="42" applyFont="1" applyBorder="1" applyAlignment="1">
      <alignment/>
    </xf>
    <xf numFmtId="43" fontId="2" fillId="0" borderId="18" xfId="42" applyFont="1" applyBorder="1" applyAlignment="1">
      <alignment/>
    </xf>
    <xf numFmtId="192" fontId="2" fillId="0" borderId="0" xfId="42" applyNumberFormat="1" applyFont="1" applyAlignment="1">
      <alignment/>
    </xf>
    <xf numFmtId="192" fontId="2" fillId="0" borderId="12" xfId="42" applyNumberFormat="1" applyFont="1" applyBorder="1" applyAlignment="1">
      <alignment/>
    </xf>
    <xf numFmtId="192" fontId="2" fillId="0" borderId="0" xfId="42" applyNumberFormat="1" applyFont="1" applyBorder="1" applyAlignment="1">
      <alignment/>
    </xf>
    <xf numFmtId="192" fontId="2" fillId="0" borderId="10" xfId="42" applyNumberFormat="1" applyFont="1" applyBorder="1" applyAlignment="1">
      <alignment/>
    </xf>
    <xf numFmtId="192" fontId="2" fillId="0" borderId="15" xfId="42" applyNumberFormat="1" applyFont="1" applyBorder="1" applyAlignment="1">
      <alignment/>
    </xf>
    <xf numFmtId="192" fontId="2" fillId="0" borderId="16" xfId="42" applyNumberFormat="1" applyFont="1" applyBorder="1" applyAlignment="1">
      <alignment/>
    </xf>
    <xf numFmtId="192" fontId="2" fillId="0" borderId="18" xfId="42" applyNumberFormat="1" applyFont="1" applyBorder="1" applyAlignment="1">
      <alignment/>
    </xf>
    <xf numFmtId="181" fontId="2" fillId="34" borderId="0" xfId="0" applyFont="1" applyFill="1" applyAlignment="1">
      <alignment/>
    </xf>
    <xf numFmtId="181" fontId="2" fillId="34" borderId="12" xfId="0" applyFont="1" applyFill="1" applyBorder="1" applyAlignment="1">
      <alignment/>
    </xf>
    <xf numFmtId="181" fontId="2" fillId="34" borderId="0" xfId="0" applyFont="1" applyFill="1" applyBorder="1" applyAlignment="1">
      <alignment/>
    </xf>
    <xf numFmtId="181" fontId="2" fillId="34" borderId="10" xfId="0" applyFont="1" applyFill="1" applyBorder="1" applyAlignment="1">
      <alignment/>
    </xf>
    <xf numFmtId="181" fontId="2" fillId="34" borderId="15" xfId="0" applyFont="1" applyFill="1" applyBorder="1" applyAlignment="1">
      <alignment/>
    </xf>
    <xf numFmtId="182" fontId="2" fillId="34" borderId="16" xfId="0" applyNumberFormat="1" applyFont="1" applyFill="1" applyBorder="1" applyAlignment="1">
      <alignment/>
    </xf>
    <xf numFmtId="182" fontId="2" fillId="34" borderId="16" xfId="0" applyNumberFormat="1" applyFont="1" applyFill="1" applyBorder="1" applyAlignment="1">
      <alignment horizontal="center"/>
    </xf>
    <xf numFmtId="181" fontId="2" fillId="34" borderId="18" xfId="0" applyFont="1" applyFill="1" applyBorder="1" applyAlignment="1">
      <alignment/>
    </xf>
    <xf numFmtId="181" fontId="2" fillId="34" borderId="16" xfId="0" applyFont="1" applyFill="1" applyBorder="1" applyAlignment="1">
      <alignment/>
    </xf>
    <xf numFmtId="191" fontId="3" fillId="34" borderId="16" xfId="42" applyNumberFormat="1" applyFont="1" applyFill="1" applyBorder="1" applyAlignment="1">
      <alignment horizontal="right"/>
    </xf>
    <xf numFmtId="192" fontId="2" fillId="34" borderId="16" xfId="42" applyNumberFormat="1" applyFont="1" applyFill="1" applyBorder="1" applyAlignment="1">
      <alignment horizontal="center"/>
    </xf>
    <xf numFmtId="181" fontId="2" fillId="34" borderId="16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right"/>
    </xf>
    <xf numFmtId="192" fontId="2" fillId="0" borderId="15" xfId="42" applyNumberFormat="1" applyFont="1" applyBorder="1" applyAlignment="1">
      <alignment horizontal="center"/>
    </xf>
    <xf numFmtId="181" fontId="3" fillId="0" borderId="16" xfId="0" applyFont="1" applyBorder="1" applyAlignment="1">
      <alignment/>
    </xf>
    <xf numFmtId="192" fontId="2" fillId="0" borderId="14" xfId="42" applyNumberFormat="1" applyFont="1" applyFill="1" applyBorder="1" applyAlignment="1" quotePrefix="1">
      <alignment/>
    </xf>
    <xf numFmtId="49" fontId="2" fillId="0" borderId="14" xfId="0" applyNumberFormat="1" applyFont="1" applyFill="1" applyBorder="1" applyAlignment="1">
      <alignment horizontal="left"/>
    </xf>
    <xf numFmtId="43" fontId="2" fillId="0" borderId="14" xfId="0" applyNumberFormat="1" applyFont="1" applyBorder="1" applyAlignment="1">
      <alignment horizontal="left"/>
    </xf>
    <xf numFmtId="43" fontId="2" fillId="0" borderId="16" xfId="0" applyNumberFormat="1" applyFont="1" applyBorder="1" applyAlignment="1" applyProtection="1">
      <alignment horizontal="center"/>
      <protection/>
    </xf>
    <xf numFmtId="43" fontId="2" fillId="0" borderId="0" xfId="0" applyNumberFormat="1" applyFont="1" applyBorder="1" applyAlignment="1" applyProtection="1">
      <alignment horizontal="center"/>
      <protection/>
    </xf>
    <xf numFmtId="43" fontId="2" fillId="0" borderId="16" xfId="0" applyNumberFormat="1" applyFont="1" applyBorder="1" applyAlignment="1">
      <alignment horizontal="center"/>
    </xf>
    <xf numFmtId="43" fontId="2" fillId="0" borderId="16" xfId="0" applyNumberFormat="1" applyFont="1" applyBorder="1" applyAlignment="1">
      <alignment horizontal="right"/>
    </xf>
    <xf numFmtId="43" fontId="2" fillId="0" borderId="14" xfId="0" applyNumberFormat="1" applyFont="1" applyBorder="1" applyAlignment="1">
      <alignment horizontal="right"/>
    </xf>
    <xf numFmtId="43" fontId="2" fillId="0" borderId="16" xfId="42" applyNumberFormat="1" applyFont="1" applyBorder="1" applyAlignment="1">
      <alignment horizontal="right"/>
    </xf>
    <xf numFmtId="43" fontId="2" fillId="0" borderId="16" xfId="42" applyNumberFormat="1" applyFont="1" applyBorder="1" applyAlignment="1">
      <alignment horizontal="center"/>
    </xf>
    <xf numFmtId="43" fontId="2" fillId="34" borderId="16" xfId="42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92" fontId="2" fillId="0" borderId="16" xfId="42" applyNumberFormat="1" applyFont="1" applyBorder="1" applyAlignment="1">
      <alignment vertical="center"/>
    </xf>
    <xf numFmtId="43" fontId="2" fillId="0" borderId="14" xfId="42" applyNumberFormat="1" applyFont="1" applyBorder="1" applyAlignment="1">
      <alignment horizontal="center"/>
    </xf>
    <xf numFmtId="205" fontId="2" fillId="0" borderId="12" xfId="42" applyNumberFormat="1" applyFont="1" applyBorder="1" applyAlignment="1">
      <alignment/>
    </xf>
    <xf numFmtId="181" fontId="3" fillId="0" borderId="14" xfId="0" applyFont="1" applyBorder="1" applyAlignment="1">
      <alignment horizontal="center"/>
    </xf>
    <xf numFmtId="181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085850" y="1009650"/>
          <a:ext cx="22383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123950" y="100298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_novembre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s_rubriques"/>
      <sheetName val="Exports_pays"/>
      <sheetName val="esports_tous"/>
      <sheetName val="Imports_rubriques"/>
      <sheetName val="Feuil1"/>
      <sheetName val="Imports _Tous"/>
      <sheetName val="Feuil3"/>
    </sheetNames>
    <sheetDataSet>
      <sheetData sheetId="0">
        <row r="6">
          <cell r="G6">
            <v>2.599158</v>
          </cell>
        </row>
        <row r="7">
          <cell r="G7">
            <v>14.625656999999999</v>
          </cell>
        </row>
        <row r="11">
          <cell r="G11">
            <v>11.049417</v>
          </cell>
        </row>
        <row r="15">
          <cell r="G15">
            <v>9037.931384</v>
          </cell>
        </row>
        <row r="21">
          <cell r="G21">
            <v>0.16</v>
          </cell>
        </row>
        <row r="22">
          <cell r="G22">
            <v>7.732473</v>
          </cell>
        </row>
        <row r="23">
          <cell r="G23">
            <v>223.763577</v>
          </cell>
        </row>
        <row r="28">
          <cell r="G28">
            <v>79.397928</v>
          </cell>
        </row>
        <row r="29">
          <cell r="G29">
            <v>722.549879</v>
          </cell>
        </row>
        <row r="30">
          <cell r="G30">
            <v>632.1112840000001</v>
          </cell>
        </row>
        <row r="34">
          <cell r="G34">
            <v>562.000284</v>
          </cell>
        </row>
        <row r="38">
          <cell r="G38">
            <v>0.470796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6">
        <row r="5">
          <cell r="E5">
            <v>22.514973</v>
          </cell>
        </row>
        <row r="6">
          <cell r="E6">
            <v>8.140572</v>
          </cell>
        </row>
        <row r="7">
          <cell r="E7">
            <v>7.23091</v>
          </cell>
        </row>
        <row r="8">
          <cell r="E8">
            <v>2.427525</v>
          </cell>
        </row>
        <row r="9">
          <cell r="E9">
            <v>9.971474</v>
          </cell>
        </row>
        <row r="10">
          <cell r="E10">
            <v>0.614156</v>
          </cell>
        </row>
        <row r="11">
          <cell r="E11">
            <v>8.544</v>
          </cell>
        </row>
        <row r="12">
          <cell r="E12">
            <v>0.622424</v>
          </cell>
        </row>
        <row r="13">
          <cell r="E13">
            <v>5.165</v>
          </cell>
        </row>
        <row r="14">
          <cell r="E14">
            <v>0.4</v>
          </cell>
        </row>
        <row r="15">
          <cell r="E15">
            <v>2.909762</v>
          </cell>
        </row>
        <row r="16">
          <cell r="E16">
            <v>696.902765</v>
          </cell>
        </row>
        <row r="17">
          <cell r="E17">
            <v>2854.522152</v>
          </cell>
        </row>
        <row r="18">
          <cell r="E18">
            <v>1241.19272</v>
          </cell>
        </row>
        <row r="19">
          <cell r="E19">
            <v>0.756505</v>
          </cell>
        </row>
        <row r="20">
          <cell r="E20">
            <v>598.686812</v>
          </cell>
        </row>
        <row r="21">
          <cell r="E21">
            <v>274.56059</v>
          </cell>
        </row>
        <row r="22">
          <cell r="E22">
            <v>5162.933805</v>
          </cell>
        </row>
        <row r="23">
          <cell r="E23">
            <v>171.268157</v>
          </cell>
        </row>
        <row r="24">
          <cell r="E24">
            <v>2965.710752</v>
          </cell>
        </row>
        <row r="25">
          <cell r="E25">
            <v>117.116455</v>
          </cell>
        </row>
        <row r="26">
          <cell r="E26">
            <v>232.843507</v>
          </cell>
        </row>
        <row r="27">
          <cell r="E27">
            <v>82.833401</v>
          </cell>
        </row>
        <row r="28">
          <cell r="E28">
            <v>619.823709</v>
          </cell>
        </row>
        <row r="29">
          <cell r="E29">
            <v>152.42911</v>
          </cell>
        </row>
        <row r="30">
          <cell r="E30">
            <v>0.6</v>
          </cell>
        </row>
        <row r="31">
          <cell r="E31">
            <v>0.07</v>
          </cell>
        </row>
        <row r="32">
          <cell r="E32">
            <v>84.32538</v>
          </cell>
        </row>
        <row r="33">
          <cell r="E33">
            <v>29.793593</v>
          </cell>
        </row>
        <row r="34">
          <cell r="E34">
            <v>6.625373</v>
          </cell>
        </row>
        <row r="35">
          <cell r="E35">
            <v>357.61823</v>
          </cell>
        </row>
        <row r="38">
          <cell r="E38">
            <v>22.600671</v>
          </cell>
        </row>
        <row r="39">
          <cell r="E39">
            <v>125.273486</v>
          </cell>
        </row>
        <row r="40">
          <cell r="E40">
            <v>182.893956</v>
          </cell>
        </row>
        <row r="41">
          <cell r="E41">
            <v>126.883226</v>
          </cell>
        </row>
        <row r="42">
          <cell r="E42">
            <v>1216.465623</v>
          </cell>
        </row>
        <row r="43">
          <cell r="E43">
            <v>919.400699</v>
          </cell>
        </row>
        <row r="44">
          <cell r="E44">
            <v>299.30784</v>
          </cell>
        </row>
        <row r="45">
          <cell r="E45">
            <v>549.68575</v>
          </cell>
        </row>
        <row r="48">
          <cell r="E48">
            <v>113.760959</v>
          </cell>
        </row>
        <row r="49">
          <cell r="E49">
            <v>177.687763</v>
          </cell>
        </row>
        <row r="50">
          <cell r="E50">
            <v>447.830084</v>
          </cell>
        </row>
        <row r="51">
          <cell r="E51">
            <v>0.08</v>
          </cell>
        </row>
        <row r="52">
          <cell r="E52">
            <v>0.11</v>
          </cell>
        </row>
        <row r="53">
          <cell r="E53">
            <v>4.324399</v>
          </cell>
        </row>
        <row r="54">
          <cell r="E54">
            <v>47.065332</v>
          </cell>
        </row>
        <row r="55">
          <cell r="E55">
            <v>252.477159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V112"/>
  <sheetViews>
    <sheetView showGridLines="0" tabSelected="1" view="pageBreakPreview" zoomScale="85" zoomScaleNormal="85" zoomScaleSheetLayoutView="85" zoomScalePageLayoutView="0" workbookViewId="0" topLeftCell="A1">
      <selection activeCell="B13" sqref="B13"/>
    </sheetView>
  </sheetViews>
  <sheetFormatPr defaultColWidth="9.77734375" defaultRowHeight="15.75"/>
  <cols>
    <col min="1" max="1" width="12.6640625" style="1" customWidth="1"/>
    <col min="2" max="2" width="26.10546875" style="1" customWidth="1"/>
    <col min="3" max="3" width="7.5546875" style="1" hidden="1" customWidth="1"/>
    <col min="4" max="4" width="5.6640625" style="2" hidden="1" customWidth="1"/>
    <col min="5" max="9" width="7.5546875" style="1" hidden="1" customWidth="1"/>
    <col min="10" max="11" width="7.5546875" style="3" hidden="1" customWidth="1"/>
    <col min="12" max="15" width="6.99609375" style="3" hidden="1" customWidth="1"/>
    <col min="16" max="17" width="7.5546875" style="3" hidden="1" customWidth="1"/>
    <col min="18" max="18" width="6.99609375" style="4" hidden="1" customWidth="1"/>
    <col min="19" max="21" width="7.5546875" style="3" hidden="1" customWidth="1"/>
    <col min="22" max="22" width="0.3359375" style="3" hidden="1" customWidth="1"/>
    <col min="23" max="23" width="7.88671875" style="3" hidden="1" customWidth="1"/>
    <col min="24" max="24" width="10.5546875" style="3" hidden="1" customWidth="1"/>
    <col min="25" max="26" width="9.77734375" style="3" hidden="1" customWidth="1"/>
    <col min="27" max="27" width="12.3359375" style="3" hidden="1" customWidth="1"/>
    <col min="28" max="28" width="11.99609375" style="3" bestFit="1" customWidth="1"/>
    <col min="29" max="29" width="12.6640625" style="3" bestFit="1" customWidth="1"/>
    <col min="30" max="30" width="12.3359375" style="3" bestFit="1" customWidth="1"/>
    <col min="31" max="31" width="11.99609375" style="3" bestFit="1" customWidth="1"/>
    <col min="32" max="32" width="11.99609375" style="3" customWidth="1"/>
    <col min="33" max="33" width="7.4453125" style="5" hidden="1" customWidth="1"/>
    <col min="34" max="34" width="8.77734375" style="5" hidden="1" customWidth="1"/>
    <col min="35" max="35" width="7.4453125" style="5" hidden="1" customWidth="1"/>
    <col min="36" max="37" width="8.77734375" style="5" hidden="1" customWidth="1"/>
    <col min="38" max="38" width="7.4453125" style="5" hidden="1" customWidth="1"/>
    <col min="39" max="44" width="8.77734375" style="5" hidden="1" customWidth="1"/>
    <col min="45" max="45" width="13.99609375" style="5" hidden="1" customWidth="1"/>
    <col min="46" max="52" width="8.77734375" style="5" hidden="1" customWidth="1"/>
    <col min="53" max="57" width="9.21484375" style="5" hidden="1" customWidth="1"/>
    <col min="58" max="58" width="11.21484375" style="5" hidden="1" customWidth="1"/>
    <col min="59" max="66" width="8.77734375" style="5" hidden="1" customWidth="1"/>
    <col min="67" max="67" width="8.99609375" style="5" hidden="1" customWidth="1"/>
    <col min="68" max="70" width="8.77734375" style="5" hidden="1" customWidth="1"/>
    <col min="71" max="71" width="9.99609375" style="5" hidden="1" customWidth="1"/>
    <col min="72" max="72" width="11.21484375" style="1" hidden="1" customWidth="1"/>
    <col min="73" max="80" width="8.77734375" style="1" hidden="1" customWidth="1"/>
    <col min="81" max="81" width="8.99609375" style="1" hidden="1" customWidth="1"/>
    <col min="82" max="84" width="8.77734375" style="1" hidden="1" customWidth="1"/>
    <col min="85" max="85" width="11.99609375" style="1" hidden="1" customWidth="1"/>
    <col min="86" max="92" width="8.77734375" style="1" hidden="1" customWidth="1"/>
    <col min="93" max="97" width="9.6640625" style="1" hidden="1" customWidth="1"/>
    <col min="98" max="98" width="11.21484375" style="1" hidden="1" customWidth="1"/>
    <col min="99" max="106" width="8.77734375" style="1" hidden="1" customWidth="1"/>
    <col min="107" max="108" width="9.6640625" style="1" hidden="1" customWidth="1"/>
    <col min="109" max="110" width="8.77734375" style="1" hidden="1" customWidth="1"/>
    <col min="111" max="111" width="11.21484375" style="5" hidden="1" customWidth="1"/>
    <col min="112" max="117" width="8.77734375" style="5" hidden="1" customWidth="1"/>
    <col min="118" max="122" width="9.6640625" style="5" hidden="1" customWidth="1"/>
    <col min="123" max="123" width="8.77734375" style="5" hidden="1" customWidth="1"/>
    <col min="124" max="124" width="11.21484375" style="5" hidden="1" customWidth="1"/>
    <col min="125" max="125" width="9.6640625" style="5" hidden="1" customWidth="1"/>
    <col min="126" max="126" width="8.77734375" style="5" hidden="1" customWidth="1"/>
    <col min="127" max="130" width="8.77734375" style="1" hidden="1" customWidth="1"/>
    <col min="131" max="131" width="9.6640625" style="5" hidden="1" customWidth="1"/>
    <col min="132" max="133" width="9.6640625" style="1" hidden="1" customWidth="1"/>
    <col min="134" max="136" width="10.5546875" style="1" hidden="1" customWidth="1"/>
    <col min="137" max="137" width="11.77734375" style="1" hidden="1" customWidth="1"/>
    <col min="138" max="149" width="9.6640625" style="1" hidden="1" customWidth="1"/>
    <col min="150" max="150" width="11.10546875" style="1" hidden="1" customWidth="1"/>
    <col min="151" max="151" width="10.5546875" style="1" hidden="1" customWidth="1"/>
    <col min="152" max="155" width="9.6640625" style="1" hidden="1" customWidth="1"/>
    <col min="156" max="156" width="8.77734375" style="1" hidden="1" customWidth="1"/>
    <col min="157" max="162" width="9.6640625" style="1" hidden="1" customWidth="1"/>
    <col min="163" max="163" width="9.6640625" style="277" hidden="1" customWidth="1"/>
    <col min="164" max="164" width="10.5546875" style="1" hidden="1" customWidth="1"/>
    <col min="165" max="174" width="9.6640625" style="1" hidden="1" customWidth="1"/>
    <col min="175" max="175" width="10.5546875" style="270" hidden="1" customWidth="1"/>
    <col min="176" max="181" width="13.6640625" style="270" hidden="1" customWidth="1"/>
    <col min="182" max="183" width="13.4453125" style="270" hidden="1" customWidth="1"/>
    <col min="184" max="199" width="10.5546875" style="270" hidden="1" customWidth="1"/>
    <col min="200" max="200" width="9.6640625" style="1" bestFit="1" customWidth="1"/>
    <col min="201" max="201" width="11.4453125" style="1" bestFit="1" customWidth="1"/>
    <col min="202" max="16384" width="9.77734375" style="1" customWidth="1"/>
  </cols>
  <sheetData>
    <row r="1" spans="33:137" ht="15.75">
      <c r="AG1" s="30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30"/>
      <c r="DT1" s="30"/>
      <c r="DU1" s="30"/>
      <c r="DV1" s="30"/>
      <c r="DW1" s="213"/>
      <c r="DX1" s="213"/>
      <c r="DY1" s="213"/>
      <c r="DZ1" s="213"/>
      <c r="EA1" s="30"/>
      <c r="EB1" s="213"/>
      <c r="EC1" s="213"/>
      <c r="ED1" s="213"/>
      <c r="EE1" s="213"/>
      <c r="EF1" s="213"/>
      <c r="EG1" s="213"/>
    </row>
    <row r="2" spans="1:201" ht="15.75">
      <c r="A2" s="9"/>
      <c r="B2" s="10"/>
      <c r="C2" s="10"/>
      <c r="D2" s="11"/>
      <c r="E2" s="11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4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4"/>
      <c r="DU2" s="14"/>
      <c r="DV2" s="14"/>
      <c r="DW2" s="10"/>
      <c r="DX2" s="10"/>
      <c r="DY2" s="10"/>
      <c r="DZ2" s="10"/>
      <c r="EA2" s="14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278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10"/>
      <c r="GS2" s="267" t="s">
        <v>96</v>
      </c>
    </row>
    <row r="3" spans="1:201" ht="15.75">
      <c r="A3" s="309" t="s">
        <v>87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8"/>
      <c r="DX3" s="8"/>
      <c r="DY3" s="8"/>
      <c r="DZ3" s="8"/>
      <c r="EA3" s="30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279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  <c r="GP3" s="272"/>
      <c r="GQ3" s="272"/>
      <c r="GR3" s="8"/>
      <c r="GS3" s="59"/>
    </row>
    <row r="4" spans="1:201" ht="15.75">
      <c r="A4" s="309" t="s">
        <v>126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8"/>
      <c r="DX4" s="8"/>
      <c r="DY4" s="8"/>
      <c r="DZ4" s="8"/>
      <c r="EA4" s="30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279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8"/>
      <c r="GS4" s="59"/>
    </row>
    <row r="5" spans="1:201" ht="15.75">
      <c r="A5" s="15"/>
      <c r="B5" s="16"/>
      <c r="C5" s="16"/>
      <c r="D5" s="17"/>
      <c r="E5" s="18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7"/>
      <c r="DX5" s="7"/>
      <c r="DY5" s="7"/>
      <c r="DZ5" s="7"/>
      <c r="EA5" s="6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280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273"/>
      <c r="FT5" s="273"/>
      <c r="FU5" s="273"/>
      <c r="FV5" s="273"/>
      <c r="FW5" s="273"/>
      <c r="FX5" s="273"/>
      <c r="FY5" s="273"/>
      <c r="FZ5" s="273"/>
      <c r="GA5" s="273"/>
      <c r="GB5" s="273"/>
      <c r="GC5" s="273"/>
      <c r="GD5" s="273"/>
      <c r="GE5" s="273"/>
      <c r="GF5" s="273"/>
      <c r="GG5" s="273"/>
      <c r="GH5" s="273"/>
      <c r="GI5" s="273"/>
      <c r="GJ5" s="273"/>
      <c r="GK5" s="273"/>
      <c r="GL5" s="273"/>
      <c r="GM5" s="273"/>
      <c r="GN5" s="273"/>
      <c r="GO5" s="273"/>
      <c r="GP5" s="273"/>
      <c r="GQ5" s="273"/>
      <c r="GR5" s="7"/>
      <c r="GS5" s="201"/>
    </row>
    <row r="6" spans="1:201" ht="15.75">
      <c r="A6" s="21"/>
      <c r="B6" s="9"/>
      <c r="C6" s="9"/>
      <c r="D6" s="22"/>
      <c r="E6" s="22"/>
      <c r="F6" s="23"/>
      <c r="G6" s="23"/>
      <c r="H6" s="23"/>
      <c r="I6" s="23"/>
      <c r="J6" s="10"/>
      <c r="K6" s="24"/>
      <c r="L6" s="25"/>
      <c r="M6" s="25"/>
      <c r="N6" s="25"/>
      <c r="O6" s="25"/>
      <c r="P6" s="25"/>
      <c r="Q6" s="25"/>
      <c r="R6" s="26"/>
      <c r="S6" s="25"/>
      <c r="T6" s="29"/>
      <c r="U6" s="29"/>
      <c r="V6" s="29"/>
      <c r="W6" s="25"/>
      <c r="X6" s="29"/>
      <c r="Y6" s="24"/>
      <c r="Z6" s="110"/>
      <c r="AA6" s="110"/>
      <c r="AB6" s="110"/>
      <c r="AC6" s="110"/>
      <c r="AD6" s="110"/>
      <c r="AE6" s="110"/>
      <c r="AF6" s="110"/>
      <c r="AG6" s="25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9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3"/>
      <c r="DX6" s="23"/>
      <c r="DY6" s="23"/>
      <c r="DZ6" s="23"/>
      <c r="EA6" s="25"/>
      <c r="EB6" s="23"/>
      <c r="EC6" s="23"/>
      <c r="ED6" s="23"/>
      <c r="EE6" s="23"/>
      <c r="EF6" s="23"/>
      <c r="EG6" s="23"/>
      <c r="EH6" s="23"/>
      <c r="EI6" s="23"/>
      <c r="EJ6" s="9"/>
      <c r="EK6" s="9"/>
      <c r="EL6" s="9"/>
      <c r="EM6" s="9"/>
      <c r="EN6" s="9"/>
      <c r="EO6" s="9"/>
      <c r="EP6" s="9"/>
      <c r="EQ6" s="9"/>
      <c r="ER6" s="9"/>
      <c r="ES6" s="9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81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3"/>
      <c r="GS6" s="23"/>
    </row>
    <row r="7" spans="1:201" ht="15.75">
      <c r="A7" s="31" t="s">
        <v>2</v>
      </c>
      <c r="B7" s="21" t="s">
        <v>61</v>
      </c>
      <c r="C7" s="32" t="s">
        <v>3</v>
      </c>
      <c r="D7" s="32" t="s">
        <v>71</v>
      </c>
      <c r="E7" s="33">
        <v>1990</v>
      </c>
      <c r="F7" s="34" t="s">
        <v>4</v>
      </c>
      <c r="G7" s="34" t="s">
        <v>5</v>
      </c>
      <c r="H7" s="34" t="s">
        <v>0</v>
      </c>
      <c r="I7" s="34" t="s">
        <v>1</v>
      </c>
      <c r="J7" s="35" t="s">
        <v>6</v>
      </c>
      <c r="K7" s="34" t="s">
        <v>7</v>
      </c>
      <c r="L7" s="34" t="s">
        <v>8</v>
      </c>
      <c r="M7" s="34" t="s">
        <v>9</v>
      </c>
      <c r="N7" s="34" t="s">
        <v>10</v>
      </c>
      <c r="O7" s="36">
        <v>2000</v>
      </c>
      <c r="P7" s="37">
        <v>2001</v>
      </c>
      <c r="Q7" s="37">
        <v>2002</v>
      </c>
      <c r="R7" s="38">
        <v>2003</v>
      </c>
      <c r="S7" s="38">
        <v>2004</v>
      </c>
      <c r="T7" s="38">
        <v>2005</v>
      </c>
      <c r="U7" s="39">
        <v>2006</v>
      </c>
      <c r="V7" s="39">
        <v>2007</v>
      </c>
      <c r="W7" s="39">
        <v>2008</v>
      </c>
      <c r="X7" s="39">
        <v>2009</v>
      </c>
      <c r="Y7" s="36">
        <v>2010</v>
      </c>
      <c r="Z7" s="193">
        <v>2011</v>
      </c>
      <c r="AA7" s="193">
        <v>2012</v>
      </c>
      <c r="AB7" s="193">
        <v>2013</v>
      </c>
      <c r="AC7" s="193">
        <v>2014</v>
      </c>
      <c r="AD7" s="193">
        <v>2015</v>
      </c>
      <c r="AE7" s="193">
        <v>2016</v>
      </c>
      <c r="AF7" s="193">
        <v>2017</v>
      </c>
      <c r="AG7" s="39">
        <v>2006</v>
      </c>
      <c r="AH7" s="39">
        <v>2006</v>
      </c>
      <c r="AI7" s="39">
        <v>2006</v>
      </c>
      <c r="AJ7" s="39">
        <v>2006</v>
      </c>
      <c r="AK7" s="39">
        <v>2006</v>
      </c>
      <c r="AL7" s="39">
        <v>2006</v>
      </c>
      <c r="AM7" s="39">
        <v>2006</v>
      </c>
      <c r="AN7" s="39">
        <v>2006</v>
      </c>
      <c r="AO7" s="39">
        <v>2006</v>
      </c>
      <c r="AP7" s="39">
        <v>2006</v>
      </c>
      <c r="AQ7" s="39">
        <v>2006</v>
      </c>
      <c r="AR7" s="39">
        <v>2006</v>
      </c>
      <c r="AS7" s="39">
        <v>2006</v>
      </c>
      <c r="AT7" s="40" t="s">
        <v>81</v>
      </c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 t="s">
        <v>81</v>
      </c>
      <c r="BG7" s="41">
        <v>2008</v>
      </c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>
        <v>2008</v>
      </c>
      <c r="BT7" s="41">
        <v>2008</v>
      </c>
      <c r="BU7" s="41">
        <v>2009</v>
      </c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>
        <v>2009</v>
      </c>
      <c r="CH7" s="41">
        <v>2010</v>
      </c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>
        <v>2010</v>
      </c>
      <c r="CU7" s="42">
        <v>2011</v>
      </c>
      <c r="CV7" s="42">
        <v>2011</v>
      </c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199">
        <v>2011</v>
      </c>
      <c r="DH7" s="37">
        <v>2012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>
        <v>2012</v>
      </c>
      <c r="DU7" s="37">
        <v>2013</v>
      </c>
      <c r="DV7" s="37">
        <v>2013</v>
      </c>
      <c r="DW7" s="36">
        <v>2013</v>
      </c>
      <c r="DX7" s="36">
        <v>2013</v>
      </c>
      <c r="DY7" s="36">
        <v>2013</v>
      </c>
      <c r="DZ7" s="36">
        <v>2013</v>
      </c>
      <c r="EA7" s="36">
        <v>2013</v>
      </c>
      <c r="EB7" s="36">
        <v>2013</v>
      </c>
      <c r="EC7" s="36">
        <v>2013</v>
      </c>
      <c r="ED7" s="36">
        <v>2013</v>
      </c>
      <c r="EE7" s="36">
        <v>2013</v>
      </c>
      <c r="EF7" s="36">
        <v>2013</v>
      </c>
      <c r="EG7" s="36">
        <v>2013</v>
      </c>
      <c r="EH7" s="42">
        <v>2014</v>
      </c>
      <c r="EI7" s="42">
        <v>2014</v>
      </c>
      <c r="EJ7" s="214">
        <v>2014</v>
      </c>
      <c r="EK7" s="42">
        <v>2014</v>
      </c>
      <c r="EL7" s="42">
        <v>2014</v>
      </c>
      <c r="EM7" s="42">
        <v>2014</v>
      </c>
      <c r="EN7" s="42">
        <v>2014</v>
      </c>
      <c r="EO7" s="42">
        <v>2014</v>
      </c>
      <c r="EP7" s="42">
        <v>2014</v>
      </c>
      <c r="EQ7" s="42">
        <v>2014</v>
      </c>
      <c r="ER7" s="42">
        <v>2014</v>
      </c>
      <c r="ES7" s="42">
        <v>2014</v>
      </c>
      <c r="ET7" s="42">
        <v>2013</v>
      </c>
      <c r="EU7" s="42">
        <v>2014</v>
      </c>
      <c r="EV7" s="42" t="s">
        <v>56</v>
      </c>
      <c r="EW7" s="42" t="s">
        <v>109</v>
      </c>
      <c r="EX7" s="42" t="s">
        <v>110</v>
      </c>
      <c r="EY7" s="42" t="s">
        <v>111</v>
      </c>
      <c r="EZ7" s="42" t="s">
        <v>112</v>
      </c>
      <c r="FA7" s="42" t="s">
        <v>113</v>
      </c>
      <c r="FB7" s="42" t="s">
        <v>114</v>
      </c>
      <c r="FC7" s="42" t="s">
        <v>115</v>
      </c>
      <c r="FD7" s="42" t="s">
        <v>116</v>
      </c>
      <c r="FE7" s="42" t="s">
        <v>117</v>
      </c>
      <c r="FF7" s="42" t="s">
        <v>118</v>
      </c>
      <c r="FG7" s="282" t="s">
        <v>119</v>
      </c>
      <c r="FH7" s="42">
        <v>2016</v>
      </c>
      <c r="FI7" s="42">
        <v>2016</v>
      </c>
      <c r="FJ7" s="42">
        <v>2016</v>
      </c>
      <c r="FK7" s="42">
        <v>2016</v>
      </c>
      <c r="FL7" s="42">
        <v>2016</v>
      </c>
      <c r="FM7" s="42">
        <v>2016</v>
      </c>
      <c r="FN7" s="42">
        <v>2016</v>
      </c>
      <c r="FO7" s="42">
        <v>2016</v>
      </c>
      <c r="FP7" s="42">
        <v>2016</v>
      </c>
      <c r="FQ7" s="42">
        <v>2016</v>
      </c>
      <c r="FR7" s="42">
        <v>2016</v>
      </c>
      <c r="FS7" s="42">
        <v>2016</v>
      </c>
      <c r="FT7" s="42">
        <v>2017</v>
      </c>
      <c r="FU7" s="42">
        <v>2017</v>
      </c>
      <c r="FV7" s="42">
        <v>2017</v>
      </c>
      <c r="FW7" s="42">
        <v>2017</v>
      </c>
      <c r="FX7" s="42">
        <v>2017</v>
      </c>
      <c r="FY7" s="42">
        <v>2017</v>
      </c>
      <c r="FZ7" s="42">
        <v>2017</v>
      </c>
      <c r="GA7" s="42">
        <v>2017</v>
      </c>
      <c r="GB7" s="42">
        <v>2017</v>
      </c>
      <c r="GC7" s="42">
        <v>2017</v>
      </c>
      <c r="GD7" s="42">
        <v>2017</v>
      </c>
      <c r="GE7" s="42">
        <v>2017</v>
      </c>
      <c r="GF7" s="42">
        <v>2018</v>
      </c>
      <c r="GG7" s="42">
        <v>2018</v>
      </c>
      <c r="GH7" s="42">
        <v>2018</v>
      </c>
      <c r="GI7" s="42">
        <v>2018</v>
      </c>
      <c r="GJ7" s="42">
        <v>2018</v>
      </c>
      <c r="GK7" s="42">
        <v>2018</v>
      </c>
      <c r="GL7" s="42">
        <v>2018</v>
      </c>
      <c r="GM7" s="42">
        <v>2018</v>
      </c>
      <c r="GN7" s="42">
        <v>2018</v>
      </c>
      <c r="GO7" s="42">
        <v>2018</v>
      </c>
      <c r="GP7" s="42">
        <v>2018</v>
      </c>
      <c r="GQ7" s="42">
        <v>2018</v>
      </c>
      <c r="GR7" s="36">
        <v>2017</v>
      </c>
      <c r="GS7" s="36">
        <v>2018</v>
      </c>
    </row>
    <row r="8" spans="1:201" ht="15.75">
      <c r="A8" s="31" t="s">
        <v>11</v>
      </c>
      <c r="B8" s="31" t="s">
        <v>72</v>
      </c>
      <c r="C8" s="32"/>
      <c r="D8" s="44"/>
      <c r="E8" s="4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45"/>
      <c r="S8" s="34"/>
      <c r="T8" s="32"/>
      <c r="U8" s="32"/>
      <c r="V8" s="46"/>
      <c r="W8" s="46"/>
      <c r="X8" s="47"/>
      <c r="Y8" s="34"/>
      <c r="Z8" s="32"/>
      <c r="AA8" s="32"/>
      <c r="AB8" s="32"/>
      <c r="AC8" s="32"/>
      <c r="AD8" s="32"/>
      <c r="AE8" s="32"/>
      <c r="AF8" s="32"/>
      <c r="AG8" s="46" t="s">
        <v>80</v>
      </c>
      <c r="AH8" s="46" t="s">
        <v>74</v>
      </c>
      <c r="AI8" s="46" t="s">
        <v>60</v>
      </c>
      <c r="AJ8" s="46" t="s">
        <v>75</v>
      </c>
      <c r="AK8" s="46" t="s">
        <v>57</v>
      </c>
      <c r="AL8" s="46" t="s">
        <v>58</v>
      </c>
      <c r="AM8" s="46" t="s">
        <v>76</v>
      </c>
      <c r="AN8" s="46" t="s">
        <v>59</v>
      </c>
      <c r="AO8" s="46" t="s">
        <v>77</v>
      </c>
      <c r="AP8" s="46" t="s">
        <v>78</v>
      </c>
      <c r="AQ8" s="46" t="s">
        <v>79</v>
      </c>
      <c r="AR8" s="46" t="s">
        <v>70</v>
      </c>
      <c r="AS8" s="46" t="s">
        <v>88</v>
      </c>
      <c r="AT8" s="46" t="s">
        <v>80</v>
      </c>
      <c r="AU8" s="46" t="s">
        <v>82</v>
      </c>
      <c r="AV8" s="46" t="s">
        <v>60</v>
      </c>
      <c r="AW8" s="46" t="s">
        <v>62</v>
      </c>
      <c r="AX8" s="46" t="s">
        <v>57</v>
      </c>
      <c r="AY8" s="46" t="s">
        <v>58</v>
      </c>
      <c r="AZ8" s="46" t="s">
        <v>64</v>
      </c>
      <c r="BA8" s="46" t="s">
        <v>59</v>
      </c>
      <c r="BB8" s="46" t="s">
        <v>83</v>
      </c>
      <c r="BC8" s="46" t="s">
        <v>84</v>
      </c>
      <c r="BD8" s="46" t="s">
        <v>85</v>
      </c>
      <c r="BE8" s="46" t="s">
        <v>86</v>
      </c>
      <c r="BF8" s="46" t="s">
        <v>93</v>
      </c>
      <c r="BG8" s="46" t="s">
        <v>80</v>
      </c>
      <c r="BH8" s="46" t="s">
        <v>82</v>
      </c>
      <c r="BI8" s="46" t="s">
        <v>60</v>
      </c>
      <c r="BJ8" s="46" t="s">
        <v>62</v>
      </c>
      <c r="BK8" s="46" t="s">
        <v>57</v>
      </c>
      <c r="BL8" s="46" t="s">
        <v>58</v>
      </c>
      <c r="BM8" s="46" t="s">
        <v>64</v>
      </c>
      <c r="BN8" s="46" t="s">
        <v>59</v>
      </c>
      <c r="BO8" s="46" t="s">
        <v>83</v>
      </c>
      <c r="BP8" s="46" t="s">
        <v>84</v>
      </c>
      <c r="BQ8" s="46" t="s">
        <v>85</v>
      </c>
      <c r="BR8" s="46" t="s">
        <v>86</v>
      </c>
      <c r="BS8" s="46" t="s">
        <v>94</v>
      </c>
      <c r="BT8" s="46" t="s">
        <v>93</v>
      </c>
      <c r="BU8" s="46" t="s">
        <v>80</v>
      </c>
      <c r="BV8" s="46" t="s">
        <v>82</v>
      </c>
      <c r="BW8" s="46" t="s">
        <v>60</v>
      </c>
      <c r="BX8" s="46" t="s">
        <v>62</v>
      </c>
      <c r="BY8" s="46" t="s">
        <v>57</v>
      </c>
      <c r="BZ8" s="46" t="s">
        <v>58</v>
      </c>
      <c r="CA8" s="46" t="s">
        <v>64</v>
      </c>
      <c r="CB8" s="46" t="s">
        <v>59</v>
      </c>
      <c r="CC8" s="46" t="s">
        <v>83</v>
      </c>
      <c r="CD8" s="46" t="s">
        <v>84</v>
      </c>
      <c r="CE8" s="46" t="s">
        <v>85</v>
      </c>
      <c r="CF8" s="46" t="s">
        <v>86</v>
      </c>
      <c r="CG8" s="46" t="s">
        <v>73</v>
      </c>
      <c r="CH8" s="49" t="s">
        <v>80</v>
      </c>
      <c r="CI8" s="49" t="s">
        <v>82</v>
      </c>
      <c r="CJ8" s="49" t="s">
        <v>60</v>
      </c>
      <c r="CK8" s="49" t="s">
        <v>62</v>
      </c>
      <c r="CL8" s="49" t="s">
        <v>57</v>
      </c>
      <c r="CM8" s="49" t="s">
        <v>58</v>
      </c>
      <c r="CN8" s="49" t="s">
        <v>64</v>
      </c>
      <c r="CO8" s="49" t="s">
        <v>59</v>
      </c>
      <c r="CP8" s="49" t="s">
        <v>83</v>
      </c>
      <c r="CQ8" s="49" t="s">
        <v>84</v>
      </c>
      <c r="CR8" s="49" t="s">
        <v>85</v>
      </c>
      <c r="CS8" s="49" t="s">
        <v>86</v>
      </c>
      <c r="CT8" s="46" t="s">
        <v>93</v>
      </c>
      <c r="CU8" s="46" t="s">
        <v>80</v>
      </c>
      <c r="CV8" s="46" t="s">
        <v>82</v>
      </c>
      <c r="CW8" s="46" t="s">
        <v>60</v>
      </c>
      <c r="CX8" s="46" t="s">
        <v>62</v>
      </c>
      <c r="CY8" s="46" t="s">
        <v>57</v>
      </c>
      <c r="CZ8" s="46" t="s">
        <v>58</v>
      </c>
      <c r="DA8" s="46" t="s">
        <v>64</v>
      </c>
      <c r="DB8" s="46" t="s">
        <v>59</v>
      </c>
      <c r="DC8" s="46" t="s">
        <v>83</v>
      </c>
      <c r="DD8" s="46" t="s">
        <v>84</v>
      </c>
      <c r="DE8" s="46" t="s">
        <v>85</v>
      </c>
      <c r="DF8" s="46" t="s">
        <v>86</v>
      </c>
      <c r="DG8" s="47" t="s">
        <v>93</v>
      </c>
      <c r="DH8" s="46" t="s">
        <v>80</v>
      </c>
      <c r="DI8" s="46" t="s">
        <v>82</v>
      </c>
      <c r="DJ8" s="46" t="s">
        <v>60</v>
      </c>
      <c r="DK8" s="46" t="s">
        <v>62</v>
      </c>
      <c r="DL8" s="46" t="s">
        <v>57</v>
      </c>
      <c r="DM8" s="46" t="s">
        <v>58</v>
      </c>
      <c r="DN8" s="46" t="s">
        <v>64</v>
      </c>
      <c r="DO8" s="46" t="s">
        <v>59</v>
      </c>
      <c r="DP8" s="46" t="s">
        <v>83</v>
      </c>
      <c r="DQ8" s="46" t="s">
        <v>84</v>
      </c>
      <c r="DR8" s="46" t="s">
        <v>85</v>
      </c>
      <c r="DS8" s="46" t="s">
        <v>86</v>
      </c>
      <c r="DT8" s="46" t="s">
        <v>93</v>
      </c>
      <c r="DU8" s="46" t="s">
        <v>80</v>
      </c>
      <c r="DV8" s="46" t="s">
        <v>82</v>
      </c>
      <c r="DW8" s="46" t="s">
        <v>60</v>
      </c>
      <c r="DX8" s="46" t="s">
        <v>62</v>
      </c>
      <c r="DY8" s="46" t="s">
        <v>57</v>
      </c>
      <c r="DZ8" s="46" t="s">
        <v>58</v>
      </c>
      <c r="EA8" s="46" t="s">
        <v>64</v>
      </c>
      <c r="EB8" s="46" t="s">
        <v>59</v>
      </c>
      <c r="EC8" s="46" t="s">
        <v>83</v>
      </c>
      <c r="ED8" s="46" t="s">
        <v>97</v>
      </c>
      <c r="EE8" s="46" t="s">
        <v>98</v>
      </c>
      <c r="EF8" s="46" t="s">
        <v>99</v>
      </c>
      <c r="EG8" s="46" t="s">
        <v>101</v>
      </c>
      <c r="EH8" s="215" t="s">
        <v>100</v>
      </c>
      <c r="EI8" s="215" t="s">
        <v>82</v>
      </c>
      <c r="EJ8" s="217" t="s">
        <v>60</v>
      </c>
      <c r="EK8" s="215" t="s">
        <v>62</v>
      </c>
      <c r="EL8" s="215" t="s">
        <v>57</v>
      </c>
      <c r="EM8" s="215" t="s">
        <v>58</v>
      </c>
      <c r="EN8" s="215" t="s">
        <v>64</v>
      </c>
      <c r="EO8" s="215" t="s">
        <v>59</v>
      </c>
      <c r="EP8" s="215" t="s">
        <v>83</v>
      </c>
      <c r="EQ8" s="215" t="s">
        <v>84</v>
      </c>
      <c r="ER8" s="215" t="s">
        <v>85</v>
      </c>
      <c r="ES8" s="215" t="s">
        <v>86</v>
      </c>
      <c r="ET8" s="36" t="s">
        <v>108</v>
      </c>
      <c r="EU8" s="36" t="s">
        <v>120</v>
      </c>
      <c r="EV8" s="36">
        <v>2015</v>
      </c>
      <c r="EW8" s="36">
        <v>2015</v>
      </c>
      <c r="EX8" s="36">
        <v>2015</v>
      </c>
      <c r="EY8" s="36">
        <v>2015</v>
      </c>
      <c r="EZ8" s="36">
        <v>2015</v>
      </c>
      <c r="FA8" s="36">
        <v>2015</v>
      </c>
      <c r="FB8" s="36">
        <v>2015</v>
      </c>
      <c r="FC8" s="36">
        <v>2015</v>
      </c>
      <c r="FD8" s="36">
        <v>2015</v>
      </c>
      <c r="FE8" s="36">
        <v>2015</v>
      </c>
      <c r="FF8" s="36">
        <v>2015</v>
      </c>
      <c r="FG8" s="283">
        <v>2015</v>
      </c>
      <c r="FH8" s="36" t="s">
        <v>100</v>
      </c>
      <c r="FI8" s="36" t="s">
        <v>122</v>
      </c>
      <c r="FJ8" s="36" t="s">
        <v>110</v>
      </c>
      <c r="FK8" s="36" t="s">
        <v>111</v>
      </c>
      <c r="FL8" s="36" t="s">
        <v>112</v>
      </c>
      <c r="FM8" s="36" t="s">
        <v>58</v>
      </c>
      <c r="FN8" s="36" t="s">
        <v>64</v>
      </c>
      <c r="FO8" s="36" t="s">
        <v>59</v>
      </c>
      <c r="FP8" s="36" t="s">
        <v>83</v>
      </c>
      <c r="FQ8" s="36" t="s">
        <v>84</v>
      </c>
      <c r="FR8" s="36" t="s">
        <v>85</v>
      </c>
      <c r="FS8" s="239" t="s">
        <v>86</v>
      </c>
      <c r="FT8" s="239" t="s">
        <v>80</v>
      </c>
      <c r="FU8" s="239" t="s">
        <v>82</v>
      </c>
      <c r="FV8" s="239" t="s">
        <v>60</v>
      </c>
      <c r="FW8" s="239" t="s">
        <v>62</v>
      </c>
      <c r="FX8" s="239" t="s">
        <v>57</v>
      </c>
      <c r="FY8" s="239" t="s">
        <v>58</v>
      </c>
      <c r="FZ8" s="239" t="s">
        <v>64</v>
      </c>
      <c r="GA8" s="239" t="s">
        <v>59</v>
      </c>
      <c r="GB8" s="239" t="s">
        <v>83</v>
      </c>
      <c r="GC8" s="239" t="s">
        <v>84</v>
      </c>
      <c r="GD8" s="239" t="s">
        <v>85</v>
      </c>
      <c r="GE8" s="239" t="s">
        <v>86</v>
      </c>
      <c r="GF8" s="239" t="s">
        <v>80</v>
      </c>
      <c r="GG8" s="239" t="s">
        <v>82</v>
      </c>
      <c r="GH8" s="239" t="s">
        <v>60</v>
      </c>
      <c r="GI8" s="239" t="s">
        <v>62</v>
      </c>
      <c r="GJ8" s="239" t="s">
        <v>57</v>
      </c>
      <c r="GK8" s="239" t="s">
        <v>58</v>
      </c>
      <c r="GL8" s="239" t="s">
        <v>64</v>
      </c>
      <c r="GM8" s="239" t="s">
        <v>59</v>
      </c>
      <c r="GN8" s="239" t="s">
        <v>83</v>
      </c>
      <c r="GO8" s="239" t="s">
        <v>84</v>
      </c>
      <c r="GP8" s="239" t="s">
        <v>85</v>
      </c>
      <c r="GQ8" s="239" t="s">
        <v>86</v>
      </c>
      <c r="GR8" s="36" t="s">
        <v>133</v>
      </c>
      <c r="GS8" s="36" t="s">
        <v>133</v>
      </c>
    </row>
    <row r="9" spans="1:201" ht="15.75">
      <c r="A9" s="50"/>
      <c r="B9" s="51" t="s">
        <v>95</v>
      </c>
      <c r="C9" s="51"/>
      <c r="D9" s="52"/>
      <c r="E9" s="52"/>
      <c r="F9" s="50"/>
      <c r="G9" s="50"/>
      <c r="H9" s="50"/>
      <c r="I9" s="50"/>
      <c r="J9" s="7"/>
      <c r="K9" s="53"/>
      <c r="L9" s="54"/>
      <c r="M9" s="54"/>
      <c r="N9" s="54"/>
      <c r="O9" s="54"/>
      <c r="P9" s="54"/>
      <c r="Q9" s="54"/>
      <c r="R9" s="55"/>
      <c r="S9" s="54"/>
      <c r="T9" s="56"/>
      <c r="U9" s="56"/>
      <c r="V9" s="54"/>
      <c r="W9" s="54"/>
      <c r="X9" s="56"/>
      <c r="Y9" s="53"/>
      <c r="Z9" s="128"/>
      <c r="AA9" s="128"/>
      <c r="AB9" s="128"/>
      <c r="AC9" s="128"/>
      <c r="AD9" s="128"/>
      <c r="AE9" s="128"/>
      <c r="AF9" s="128"/>
      <c r="AG9" s="5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0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6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0"/>
      <c r="DX9" s="50"/>
      <c r="DY9" s="50"/>
      <c r="DZ9" s="50"/>
      <c r="EA9" s="54"/>
      <c r="EB9" s="50"/>
      <c r="EC9" s="50"/>
      <c r="ED9" s="50"/>
      <c r="EE9" s="50"/>
      <c r="EF9" s="50"/>
      <c r="EG9" s="50"/>
      <c r="EH9" s="216"/>
      <c r="EI9" s="50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284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50"/>
      <c r="GS9" s="50"/>
    </row>
    <row r="10" spans="1:201" ht="15.75">
      <c r="A10" s="21"/>
      <c r="B10" s="21"/>
      <c r="C10" s="21"/>
      <c r="D10" s="57"/>
      <c r="E10" s="57"/>
      <c r="F10" s="43"/>
      <c r="G10" s="43"/>
      <c r="H10" s="43"/>
      <c r="I10" s="43"/>
      <c r="J10" s="8"/>
      <c r="K10" s="34"/>
      <c r="L10" s="27"/>
      <c r="M10" s="27"/>
      <c r="N10" s="27"/>
      <c r="O10" s="58"/>
      <c r="P10" s="27"/>
      <c r="Q10" s="27"/>
      <c r="R10" s="225"/>
      <c r="S10" s="27"/>
      <c r="T10" s="28"/>
      <c r="U10" s="28"/>
      <c r="V10" s="27"/>
      <c r="W10" s="27"/>
      <c r="X10" s="28"/>
      <c r="Y10" s="34"/>
      <c r="Z10" s="32"/>
      <c r="AA10" s="32"/>
      <c r="AB10" s="32"/>
      <c r="AC10" s="32"/>
      <c r="AD10" s="32"/>
      <c r="AE10" s="32"/>
      <c r="AF10" s="32"/>
      <c r="AG10" s="27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43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43"/>
      <c r="CH10" s="59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28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43"/>
      <c r="DX10" s="202"/>
      <c r="DY10" s="202"/>
      <c r="DZ10" s="202"/>
      <c r="EA10" s="195"/>
      <c r="EB10" s="202"/>
      <c r="EC10" s="202"/>
      <c r="ED10" s="202"/>
      <c r="EE10" s="202"/>
      <c r="EF10" s="202"/>
      <c r="EG10" s="228"/>
      <c r="EH10" s="59"/>
      <c r="EI10" s="43"/>
      <c r="EJ10" s="21"/>
      <c r="EK10" s="21"/>
      <c r="EL10" s="8"/>
      <c r="EM10" s="8"/>
      <c r="EN10" s="8"/>
      <c r="EO10" s="8"/>
      <c r="EP10" s="8"/>
      <c r="EQ10" s="8"/>
      <c r="ER10" s="8"/>
      <c r="ES10" s="8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285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43"/>
      <c r="GS10" s="43"/>
    </row>
    <row r="11" spans="1:201" ht="15.75">
      <c r="A11" s="31" t="s">
        <v>12</v>
      </c>
      <c r="B11" s="75" t="s">
        <v>13</v>
      </c>
      <c r="C11" s="62">
        <v>4.9</v>
      </c>
      <c r="D11" s="44"/>
      <c r="E11" s="63">
        <v>22.7</v>
      </c>
      <c r="F11" s="64">
        <v>18.1</v>
      </c>
      <c r="G11" s="64">
        <v>9.3</v>
      </c>
      <c r="H11" s="64">
        <v>4.5</v>
      </c>
      <c r="I11" s="64">
        <v>3.9</v>
      </c>
      <c r="J11" s="62">
        <v>10.5</v>
      </c>
      <c r="K11" s="64">
        <v>2.1</v>
      </c>
      <c r="L11" s="65">
        <v>1.6</v>
      </c>
      <c r="M11" s="66">
        <v>0.4</v>
      </c>
      <c r="N11" s="66">
        <v>6.1</v>
      </c>
      <c r="O11" s="67">
        <v>2</v>
      </c>
      <c r="P11" s="27">
        <v>5.8</v>
      </c>
      <c r="Q11" s="27">
        <v>3.2</v>
      </c>
      <c r="R11" s="68">
        <v>12.9</v>
      </c>
      <c r="S11" s="69" t="s">
        <v>14</v>
      </c>
      <c r="T11" s="69" t="s">
        <v>14</v>
      </c>
      <c r="U11" s="69" t="s">
        <v>14</v>
      </c>
      <c r="V11" s="68" t="s">
        <v>14</v>
      </c>
      <c r="W11" s="69" t="s">
        <v>14</v>
      </c>
      <c r="X11" s="197">
        <v>0.6</v>
      </c>
      <c r="Y11" s="237" t="s">
        <v>14</v>
      </c>
      <c r="Z11" s="249" t="s">
        <v>14</v>
      </c>
      <c r="AA11" s="249">
        <v>2.7</v>
      </c>
      <c r="AB11" s="249">
        <v>5.8254719800000005</v>
      </c>
      <c r="AC11" s="249">
        <v>6.5200000000000005</v>
      </c>
      <c r="AD11" s="249">
        <v>8.368488</v>
      </c>
      <c r="AE11" s="249">
        <v>10.545482</v>
      </c>
      <c r="AF11" s="249">
        <v>0.08617</v>
      </c>
      <c r="AG11" s="249" t="s">
        <v>14</v>
      </c>
      <c r="AH11" s="249" t="s">
        <v>14</v>
      </c>
      <c r="AI11" s="249" t="s">
        <v>14</v>
      </c>
      <c r="AJ11" s="249" t="s">
        <v>14</v>
      </c>
      <c r="AK11" s="249" t="s">
        <v>14</v>
      </c>
      <c r="AL11" s="249" t="s">
        <v>14</v>
      </c>
      <c r="AM11" s="249" t="s">
        <v>14</v>
      </c>
      <c r="AN11" s="249" t="s">
        <v>14</v>
      </c>
      <c r="AO11" s="249" t="s">
        <v>14</v>
      </c>
      <c r="AP11" s="249" t="s">
        <v>14</v>
      </c>
      <c r="AQ11" s="249" t="s">
        <v>14</v>
      </c>
      <c r="AR11" s="249" t="s">
        <v>14</v>
      </c>
      <c r="AS11" s="249" t="s">
        <v>14</v>
      </c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49">
        <f aca="true" t="shared" si="0" ref="BF11:BF40">SUM(AT11:BE11)</f>
        <v>0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>
        <v>0</v>
      </c>
      <c r="BR11" s="250">
        <v>0</v>
      </c>
      <c r="BS11" s="250">
        <f>SUM(BG11:BR11)</f>
        <v>0</v>
      </c>
      <c r="BT11" s="249" t="s">
        <v>14</v>
      </c>
      <c r="BU11" s="250" t="s">
        <v>14</v>
      </c>
      <c r="BV11" s="250" t="s">
        <v>14</v>
      </c>
      <c r="BW11" s="250">
        <v>0</v>
      </c>
      <c r="BX11" s="250">
        <v>0</v>
      </c>
      <c r="BY11" s="250">
        <v>0.6</v>
      </c>
      <c r="BZ11" s="251">
        <v>0</v>
      </c>
      <c r="CA11" s="251">
        <v>0</v>
      </c>
      <c r="CB11" s="251">
        <v>0</v>
      </c>
      <c r="CC11" s="251">
        <v>0</v>
      </c>
      <c r="CD11" s="251">
        <v>0</v>
      </c>
      <c r="CE11" s="251">
        <v>0</v>
      </c>
      <c r="CF11" s="251">
        <v>0</v>
      </c>
      <c r="CG11" s="250">
        <f>SUM(BU11:CF11)</f>
        <v>0.6</v>
      </c>
      <c r="CH11" s="250" t="s">
        <v>14</v>
      </c>
      <c r="CI11" s="252">
        <v>0</v>
      </c>
      <c r="CJ11" s="252">
        <v>0</v>
      </c>
      <c r="CK11" s="252">
        <v>0</v>
      </c>
      <c r="CL11" s="252">
        <v>0</v>
      </c>
      <c r="CM11" s="252">
        <v>0</v>
      </c>
      <c r="CN11" s="252">
        <v>0</v>
      </c>
      <c r="CO11" s="252">
        <v>0</v>
      </c>
      <c r="CP11" s="252">
        <v>0</v>
      </c>
      <c r="CQ11" s="252">
        <v>0</v>
      </c>
      <c r="CR11" s="252">
        <v>0</v>
      </c>
      <c r="CS11" s="252">
        <v>0</v>
      </c>
      <c r="CT11" s="250" t="s">
        <v>14</v>
      </c>
      <c r="CU11" s="249" t="s">
        <v>14</v>
      </c>
      <c r="CV11" s="249" t="s">
        <v>14</v>
      </c>
      <c r="CW11" s="249" t="s">
        <v>14</v>
      </c>
      <c r="CX11" s="249" t="s">
        <v>14</v>
      </c>
      <c r="CY11" s="249" t="s">
        <v>14</v>
      </c>
      <c r="CZ11" s="249" t="s">
        <v>14</v>
      </c>
      <c r="DA11" s="249" t="s">
        <v>14</v>
      </c>
      <c r="DB11" s="249" t="s">
        <v>14</v>
      </c>
      <c r="DC11" s="249" t="s">
        <v>14</v>
      </c>
      <c r="DD11" s="249" t="s">
        <v>14</v>
      </c>
      <c r="DE11" s="249" t="s">
        <v>14</v>
      </c>
      <c r="DF11" s="249" t="s">
        <v>14</v>
      </c>
      <c r="DG11" s="253" t="s">
        <v>14</v>
      </c>
      <c r="DH11" s="250" t="s">
        <v>14</v>
      </c>
      <c r="DI11" s="250" t="s">
        <v>14</v>
      </c>
      <c r="DJ11" s="250">
        <v>0</v>
      </c>
      <c r="DK11" s="250">
        <v>0</v>
      </c>
      <c r="DL11" s="250">
        <v>0</v>
      </c>
      <c r="DM11" s="250">
        <v>0</v>
      </c>
      <c r="DN11" s="250">
        <v>0</v>
      </c>
      <c r="DO11" s="250">
        <v>1.8</v>
      </c>
      <c r="DP11" s="250">
        <v>0.9</v>
      </c>
      <c r="DQ11" s="250">
        <v>0</v>
      </c>
      <c r="DR11" s="250">
        <v>0</v>
      </c>
      <c r="DS11" s="250">
        <v>0</v>
      </c>
      <c r="DT11" s="252">
        <f>SUM(DH11:DS11)</f>
        <v>2.7</v>
      </c>
      <c r="DU11" s="252">
        <v>0.49</v>
      </c>
      <c r="DV11" s="252"/>
      <c r="DW11" s="250"/>
      <c r="DX11" s="250">
        <v>1</v>
      </c>
      <c r="DY11" s="250">
        <v>1.8</v>
      </c>
      <c r="DZ11" s="250">
        <v>0.31047198</v>
      </c>
      <c r="EA11" s="250">
        <v>0.45</v>
      </c>
      <c r="EB11" s="250"/>
      <c r="EC11" s="250">
        <v>1.375</v>
      </c>
      <c r="ED11" s="250"/>
      <c r="EE11" s="250"/>
      <c r="EF11" s="250">
        <v>0.4</v>
      </c>
      <c r="EG11" s="251">
        <f>+SUM(DU11:EF11)</f>
        <v>5.8254719800000005</v>
      </c>
      <c r="EH11" s="251">
        <v>1.08</v>
      </c>
      <c r="EI11" s="250">
        <v>1.07</v>
      </c>
      <c r="EJ11" s="249">
        <v>2.12</v>
      </c>
      <c r="EK11" s="249"/>
      <c r="EL11" s="254">
        <v>0.9</v>
      </c>
      <c r="EM11" s="254"/>
      <c r="EN11" s="254"/>
      <c r="EO11" s="254">
        <v>0.6</v>
      </c>
      <c r="EP11" s="254">
        <v>0.75</v>
      </c>
      <c r="EQ11" s="254"/>
      <c r="ER11" s="254"/>
      <c r="ES11" s="254"/>
      <c r="ET11" s="250">
        <f>+SUM(DU11:EF11)</f>
        <v>5.8254719800000005</v>
      </c>
      <c r="EU11" s="250">
        <f>+SUM(EH11:ES11)</f>
        <v>6.5200000000000005</v>
      </c>
      <c r="EV11" s="250">
        <v>1.65</v>
      </c>
      <c r="EW11" s="250">
        <v>0.2</v>
      </c>
      <c r="EX11" s="250"/>
      <c r="EY11" s="250">
        <v>2.568488</v>
      </c>
      <c r="EZ11" s="250"/>
      <c r="FA11" s="250">
        <v>0.8</v>
      </c>
      <c r="FB11" s="250">
        <v>1.5</v>
      </c>
      <c r="FC11" s="250">
        <v>0.2</v>
      </c>
      <c r="FD11" s="250">
        <v>1.45</v>
      </c>
      <c r="FE11" s="250"/>
      <c r="FF11" s="250"/>
      <c r="FG11" s="261">
        <v>0</v>
      </c>
      <c r="FH11" s="250"/>
      <c r="FI11" s="250">
        <v>0.75</v>
      </c>
      <c r="FJ11" s="250">
        <v>0.5</v>
      </c>
      <c r="FK11" s="250">
        <v>0.7</v>
      </c>
      <c r="FL11" s="250">
        <v>1.93</v>
      </c>
      <c r="FM11" s="250">
        <v>5.065482</v>
      </c>
      <c r="FN11" s="250">
        <v>1.6</v>
      </c>
      <c r="FO11" s="250"/>
      <c r="FP11" s="250"/>
      <c r="FQ11" s="250"/>
      <c r="FR11" s="250"/>
      <c r="FS11" s="250"/>
      <c r="FT11" s="250"/>
      <c r="FU11" s="250"/>
      <c r="FV11" s="250"/>
      <c r="FW11" s="250">
        <v>0.08617</v>
      </c>
      <c r="FX11" s="250"/>
      <c r="FY11" s="250">
        <v>0</v>
      </c>
      <c r="FZ11" s="250"/>
      <c r="GA11" s="250"/>
      <c r="GB11" s="250"/>
      <c r="GC11" s="250"/>
      <c r="GD11" s="250"/>
      <c r="GE11" s="250"/>
      <c r="GF11" s="250"/>
      <c r="GG11" s="250">
        <v>0</v>
      </c>
      <c r="GH11" s="250">
        <v>0</v>
      </c>
      <c r="GI11" s="250">
        <v>0</v>
      </c>
      <c r="GJ11" s="250"/>
      <c r="GK11" s="250"/>
      <c r="GL11" s="250"/>
      <c r="GM11" s="250"/>
      <c r="GN11" s="250"/>
      <c r="GO11" s="250"/>
      <c r="GP11" s="250"/>
      <c r="GQ11" s="250"/>
      <c r="GR11" s="250">
        <f>+FT11+FU11+FV11+FW11</f>
        <v>0.08617</v>
      </c>
      <c r="GS11" s="250">
        <f>+GF11+GG11+GH11+GI11</f>
        <v>0</v>
      </c>
    </row>
    <row r="12" spans="1:201" ht="15.75">
      <c r="A12" s="31" t="s">
        <v>15</v>
      </c>
      <c r="B12" s="75" t="s">
        <v>16</v>
      </c>
      <c r="C12" s="62">
        <v>36.7</v>
      </c>
      <c r="D12" s="44"/>
      <c r="E12" s="63">
        <v>51.4</v>
      </c>
      <c r="F12" s="64">
        <v>50.3</v>
      </c>
      <c r="G12" s="64">
        <v>55.5</v>
      </c>
      <c r="H12" s="64">
        <v>55.9</v>
      </c>
      <c r="I12" s="64">
        <v>58.1</v>
      </c>
      <c r="J12" s="62">
        <v>59.9</v>
      </c>
      <c r="K12" s="64">
        <v>30.8</v>
      </c>
      <c r="L12" s="65">
        <v>61</v>
      </c>
      <c r="M12" s="66">
        <v>84.2</v>
      </c>
      <c r="N12" s="66">
        <v>85.9</v>
      </c>
      <c r="O12" s="67">
        <v>85.6</v>
      </c>
      <c r="P12" s="27">
        <v>120.6</v>
      </c>
      <c r="Q12" s="27">
        <v>147.3</v>
      </c>
      <c r="R12" s="68">
        <v>130.9</v>
      </c>
      <c r="S12" s="69">
        <v>176.7</v>
      </c>
      <c r="T12" s="69">
        <v>167.5</v>
      </c>
      <c r="U12" s="69">
        <v>190.7</v>
      </c>
      <c r="V12" s="68">
        <v>226.656</v>
      </c>
      <c r="W12" s="68">
        <v>218.75</v>
      </c>
      <c r="X12" s="197">
        <v>279.9</v>
      </c>
      <c r="Y12" s="237" t="s">
        <v>14</v>
      </c>
      <c r="Z12" s="249" t="s">
        <v>14</v>
      </c>
      <c r="AA12" s="249">
        <v>161.92584399999998</v>
      </c>
      <c r="AB12" s="249">
        <v>247.905701687162</v>
      </c>
      <c r="AC12" s="249">
        <v>263.61350346096106</v>
      </c>
      <c r="AD12" s="249">
        <v>246.05573072</v>
      </c>
      <c r="AE12" s="249">
        <v>133.71764000000002</v>
      </c>
      <c r="AF12" s="249">
        <v>0</v>
      </c>
      <c r="AG12" s="250">
        <v>24.7</v>
      </c>
      <c r="AH12" s="255">
        <v>11.2</v>
      </c>
      <c r="AI12" s="255">
        <v>9.3</v>
      </c>
      <c r="AJ12" s="255">
        <v>10.5</v>
      </c>
      <c r="AK12" s="255">
        <v>18.9</v>
      </c>
      <c r="AL12" s="255">
        <f>2+2.1+2.4</f>
        <v>6.5</v>
      </c>
      <c r="AM12" s="255">
        <v>30.7</v>
      </c>
      <c r="AN12" s="255">
        <v>3.2</v>
      </c>
      <c r="AO12" s="255">
        <v>18.8</v>
      </c>
      <c r="AP12" s="255">
        <v>21.1</v>
      </c>
      <c r="AQ12" s="255"/>
      <c r="AR12" s="255">
        <v>35.8</v>
      </c>
      <c r="AS12" s="255">
        <f aca="true" t="shared" si="1" ref="AS12:AS38">SUM(AG12:AR12)</f>
        <v>190.7</v>
      </c>
      <c r="AT12" s="250">
        <v>11.3</v>
      </c>
      <c r="AU12" s="250">
        <v>34.8</v>
      </c>
      <c r="AV12" s="250">
        <v>21.3</v>
      </c>
      <c r="AW12" s="250"/>
      <c r="AX12" s="250">
        <v>17.1</v>
      </c>
      <c r="AY12" s="250"/>
      <c r="AZ12" s="250">
        <v>24.5</v>
      </c>
      <c r="BA12" s="250">
        <v>8.5</v>
      </c>
      <c r="BB12" s="250">
        <v>21.178</v>
      </c>
      <c r="BC12" s="250">
        <v>18.6</v>
      </c>
      <c r="BD12" s="250">
        <v>48.9</v>
      </c>
      <c r="BE12" s="250">
        <v>20.478</v>
      </c>
      <c r="BF12" s="249">
        <f t="shared" si="0"/>
        <v>226.656</v>
      </c>
      <c r="BG12" s="250">
        <v>25.15</v>
      </c>
      <c r="BH12" s="250">
        <v>20.293</v>
      </c>
      <c r="BI12" s="250">
        <v>1.5</v>
      </c>
      <c r="BJ12" s="250">
        <v>57.863</v>
      </c>
      <c r="BK12" s="250">
        <v>24.634</v>
      </c>
      <c r="BL12" s="250"/>
      <c r="BM12" s="250"/>
      <c r="BN12" s="250"/>
      <c r="BO12" s="250">
        <v>28</v>
      </c>
      <c r="BP12" s="250">
        <v>0.01</v>
      </c>
      <c r="BQ12" s="250">
        <v>61.3</v>
      </c>
      <c r="BR12" s="250">
        <v>0</v>
      </c>
      <c r="BS12" s="250">
        <f aca="true" t="shared" si="2" ref="BS12:BS40">SUM(BG12:BR12)</f>
        <v>218.75</v>
      </c>
      <c r="BT12" s="249">
        <f>SUM(BG12:BR12)</f>
        <v>218.75</v>
      </c>
      <c r="BU12" s="250">
        <v>23</v>
      </c>
      <c r="BV12" s="251">
        <v>29.8</v>
      </c>
      <c r="BW12" s="251">
        <v>0</v>
      </c>
      <c r="BX12" s="251">
        <v>53.2</v>
      </c>
      <c r="BY12" s="251">
        <v>26.2</v>
      </c>
      <c r="BZ12" s="251">
        <v>0.4</v>
      </c>
      <c r="CA12" s="251">
        <v>19.3</v>
      </c>
      <c r="CB12" s="251">
        <v>0</v>
      </c>
      <c r="CC12" s="251">
        <f>4.2+3.4+2.6+2.5+21.7</f>
        <v>34.4</v>
      </c>
      <c r="CD12" s="251">
        <v>17.4</v>
      </c>
      <c r="CE12" s="251">
        <v>47.5</v>
      </c>
      <c r="CF12" s="251">
        <v>28.7</v>
      </c>
      <c r="CG12" s="250">
        <f aca="true" t="shared" si="3" ref="CG12:CG40">SUM(BU12:CF12)</f>
        <v>279.90000000000003</v>
      </c>
      <c r="CH12" s="250" t="s">
        <v>14</v>
      </c>
      <c r="CI12" s="252">
        <v>0</v>
      </c>
      <c r="CJ12" s="252">
        <v>0</v>
      </c>
      <c r="CK12" s="252">
        <v>0</v>
      </c>
      <c r="CL12" s="252">
        <v>0</v>
      </c>
      <c r="CM12" s="252">
        <v>0</v>
      </c>
      <c r="CN12" s="252">
        <v>0</v>
      </c>
      <c r="CO12" s="252">
        <v>0</v>
      </c>
      <c r="CP12" s="252">
        <v>0</v>
      </c>
      <c r="CQ12" s="252">
        <v>0</v>
      </c>
      <c r="CR12" s="252">
        <v>0</v>
      </c>
      <c r="CS12" s="252">
        <v>0</v>
      </c>
      <c r="CT12" s="250" t="s">
        <v>14</v>
      </c>
      <c r="CU12" s="249" t="s">
        <v>14</v>
      </c>
      <c r="CV12" s="249" t="s">
        <v>14</v>
      </c>
      <c r="CW12" s="249" t="s">
        <v>14</v>
      </c>
      <c r="CX12" s="249" t="s">
        <v>14</v>
      </c>
      <c r="CY12" s="249" t="s">
        <v>14</v>
      </c>
      <c r="CZ12" s="249" t="s">
        <v>14</v>
      </c>
      <c r="DA12" s="249" t="s">
        <v>14</v>
      </c>
      <c r="DB12" s="249" t="s">
        <v>14</v>
      </c>
      <c r="DC12" s="249" t="s">
        <v>14</v>
      </c>
      <c r="DD12" s="249" t="s">
        <v>14</v>
      </c>
      <c r="DE12" s="249" t="s">
        <v>14</v>
      </c>
      <c r="DF12" s="249" t="s">
        <v>14</v>
      </c>
      <c r="DG12" s="253" t="s">
        <v>14</v>
      </c>
      <c r="DH12" s="250" t="s">
        <v>14</v>
      </c>
      <c r="DI12" s="250" t="s">
        <v>14</v>
      </c>
      <c r="DJ12" s="250">
        <v>0</v>
      </c>
      <c r="DK12" s="250">
        <v>0</v>
      </c>
      <c r="DL12" s="250">
        <v>28.8</v>
      </c>
      <c r="DM12" s="250">
        <v>39</v>
      </c>
      <c r="DN12" s="250">
        <v>0</v>
      </c>
      <c r="DO12" s="250">
        <v>20.370299</v>
      </c>
      <c r="DP12" s="250">
        <v>16.9</v>
      </c>
      <c r="DQ12" s="250">
        <v>0</v>
      </c>
      <c r="DR12" s="250">
        <f>+'[2]EX1'!$E$5+'[2]EX1'!$E$6</f>
        <v>30.655545000000004</v>
      </c>
      <c r="DS12" s="250">
        <v>26.2</v>
      </c>
      <c r="DT12" s="252">
        <f aca="true" t="shared" si="4" ref="DT12:DT41">SUM(DH12:DS12)</f>
        <v>161.92584399999998</v>
      </c>
      <c r="DU12" s="252">
        <v>32.907718</v>
      </c>
      <c r="DV12" s="252">
        <v>4.84938</v>
      </c>
      <c r="DW12" s="252">
        <v>43.461917</v>
      </c>
      <c r="DX12" s="250">
        <v>29.972241</v>
      </c>
      <c r="DY12" s="250">
        <v>23.662650764068</v>
      </c>
      <c r="DZ12" s="250"/>
      <c r="EA12" s="250">
        <v>25.963768519638</v>
      </c>
      <c r="EB12" s="254"/>
      <c r="EC12" s="254"/>
      <c r="ED12" s="254">
        <v>13.263295209651</v>
      </c>
      <c r="EE12" s="250">
        <v>65.08542694607601</v>
      </c>
      <c r="EF12" s="250">
        <v>8.739304247728999</v>
      </c>
      <c r="EG12" s="251">
        <f aca="true" t="shared" si="5" ref="EG12:EG41">+SUM(DU12:EF12)</f>
        <v>247.905701687162</v>
      </c>
      <c r="EH12" s="251"/>
      <c r="EI12" s="250">
        <v>30.633877770960996</v>
      </c>
      <c r="EJ12" s="249">
        <v>22.76757385</v>
      </c>
      <c r="EK12" s="249">
        <v>11.167130010000001</v>
      </c>
      <c r="EL12" s="254">
        <v>32.68859958</v>
      </c>
      <c r="EM12" s="254"/>
      <c r="EN12" s="254">
        <v>40.174014989999996</v>
      </c>
      <c r="EO12" s="254"/>
      <c r="EP12" s="254">
        <v>60.187986259999995</v>
      </c>
      <c r="EQ12" s="254"/>
      <c r="ER12" s="254">
        <v>41.812033</v>
      </c>
      <c r="ES12" s="254">
        <v>24.182288</v>
      </c>
      <c r="ET12" s="250">
        <f aca="true" t="shared" si="6" ref="ET12:ET41">+SUM(DU12:EF12)</f>
        <v>247.905701687162</v>
      </c>
      <c r="EU12" s="250">
        <f aca="true" t="shared" si="7" ref="EU12:EU41">+SUM(EH12:ES12)</f>
        <v>263.61350346096106</v>
      </c>
      <c r="EV12" s="250"/>
      <c r="EW12" s="250">
        <v>19.730436</v>
      </c>
      <c r="EX12" s="250">
        <v>50.303456999999995</v>
      </c>
      <c r="EY12" s="250"/>
      <c r="EZ12" s="250"/>
      <c r="FA12" s="250">
        <v>56.71223</v>
      </c>
      <c r="FB12" s="250">
        <v>14.407259</v>
      </c>
      <c r="FC12" s="250">
        <v>17.97789</v>
      </c>
      <c r="FD12" s="250">
        <v>38.38561372</v>
      </c>
      <c r="FE12" s="250">
        <v>37.361892</v>
      </c>
      <c r="FF12" s="250">
        <v>11.176953</v>
      </c>
      <c r="FG12" s="261">
        <v>0</v>
      </c>
      <c r="FH12" s="250"/>
      <c r="FI12" s="250">
        <v>43.886202</v>
      </c>
      <c r="FJ12" s="250"/>
      <c r="FK12" s="250">
        <v>26.541487</v>
      </c>
      <c r="FL12" s="250">
        <v>63.289951</v>
      </c>
      <c r="FM12" s="250"/>
      <c r="FN12" s="250"/>
      <c r="FO12" s="250"/>
      <c r="FP12" s="250"/>
      <c r="FQ12" s="250"/>
      <c r="FR12" s="250"/>
      <c r="FS12" s="250">
        <v>0</v>
      </c>
      <c r="FT12" s="250"/>
      <c r="FU12" s="250"/>
      <c r="FV12" s="250"/>
      <c r="FW12" s="250">
        <v>0</v>
      </c>
      <c r="FX12" s="250"/>
      <c r="FY12" s="250">
        <v>0</v>
      </c>
      <c r="FZ12" s="250"/>
      <c r="GA12" s="250"/>
      <c r="GB12" s="250"/>
      <c r="GC12" s="250"/>
      <c r="GD12" s="250"/>
      <c r="GE12" s="250"/>
      <c r="GF12" s="250"/>
      <c r="GG12" s="250">
        <v>0</v>
      </c>
      <c r="GH12" s="250">
        <v>0</v>
      </c>
      <c r="GI12" s="250">
        <v>0</v>
      </c>
      <c r="GJ12" s="250"/>
      <c r="GK12" s="250"/>
      <c r="GL12" s="250"/>
      <c r="GM12" s="250"/>
      <c r="GN12" s="250"/>
      <c r="GO12" s="250"/>
      <c r="GP12" s="250"/>
      <c r="GQ12" s="250"/>
      <c r="GR12" s="250">
        <f aca="true" t="shared" si="8" ref="GR12:GR41">+FT12+FU12+FV12+FW12</f>
        <v>0</v>
      </c>
      <c r="GS12" s="250">
        <f aca="true" t="shared" si="9" ref="GS12:GS41">+GF12+GG12+GH12+GI12</f>
        <v>0</v>
      </c>
    </row>
    <row r="13" spans="1:201" ht="15.75">
      <c r="A13" s="31" t="s">
        <v>17</v>
      </c>
      <c r="B13" s="75" t="s">
        <v>18</v>
      </c>
      <c r="C13" s="62">
        <v>22</v>
      </c>
      <c r="D13" s="44"/>
      <c r="E13" s="63">
        <v>26.9</v>
      </c>
      <c r="F13" s="64">
        <v>22.6</v>
      </c>
      <c r="G13" s="64">
        <v>37.9</v>
      </c>
      <c r="H13" s="64">
        <v>45.4</v>
      </c>
      <c r="I13" s="64">
        <v>35.3</v>
      </c>
      <c r="J13" s="62">
        <v>37.3</v>
      </c>
      <c r="K13" s="64">
        <v>5.5</v>
      </c>
      <c r="L13" s="65">
        <v>9.9</v>
      </c>
      <c r="M13" s="66">
        <v>6.8</v>
      </c>
      <c r="N13" s="66">
        <v>16.4</v>
      </c>
      <c r="O13" s="67">
        <v>22.2</v>
      </c>
      <c r="P13" s="27">
        <v>77.2</v>
      </c>
      <c r="Q13" s="27">
        <v>164.3</v>
      </c>
      <c r="R13" s="68">
        <v>273.1</v>
      </c>
      <c r="S13" s="69">
        <v>344.7</v>
      </c>
      <c r="T13" s="69">
        <v>165</v>
      </c>
      <c r="U13" s="69">
        <v>274.885</v>
      </c>
      <c r="V13" s="68">
        <v>304.28</v>
      </c>
      <c r="W13" s="68">
        <v>189.305</v>
      </c>
      <c r="X13" s="197">
        <v>67.4</v>
      </c>
      <c r="Y13" s="237">
        <f>SUM(CH13:CS13)</f>
        <v>54.344949</v>
      </c>
      <c r="Z13" s="249">
        <f aca="true" t="shared" si="10" ref="Z13:Z41">SUM(CU13:DF13)</f>
        <v>110.32033499999999</v>
      </c>
      <c r="AA13" s="249">
        <v>54.25074</v>
      </c>
      <c r="AB13" s="249">
        <v>55.268878022200006</v>
      </c>
      <c r="AC13" s="249">
        <v>37.99608145584</v>
      </c>
      <c r="AD13" s="249">
        <v>30.87270788</v>
      </c>
      <c r="AE13" s="249">
        <v>58.68379</v>
      </c>
      <c r="AF13" s="249">
        <v>33.859125999999996</v>
      </c>
      <c r="AG13" s="250">
        <v>7.6</v>
      </c>
      <c r="AH13" s="255">
        <v>31.8</v>
      </c>
      <c r="AI13" s="255">
        <v>12.6</v>
      </c>
      <c r="AJ13" s="255">
        <v>16.5</v>
      </c>
      <c r="AK13" s="255">
        <v>27.6</v>
      </c>
      <c r="AL13" s="255">
        <f>0.6+2.1+0.4+1.4+1.3+3.4+1.2+2.1+1.9+1.7+3.1+2.6+3.6+2.9</f>
        <v>28.3</v>
      </c>
      <c r="AM13" s="255">
        <v>39.8</v>
      </c>
      <c r="AN13" s="255">
        <v>40.6</v>
      </c>
      <c r="AO13" s="255">
        <f>1.6+2.4+21.1</f>
        <v>25.1</v>
      </c>
      <c r="AP13" s="255">
        <f>0.5+2.3+23.7</f>
        <v>26.5</v>
      </c>
      <c r="AQ13" s="255">
        <v>14.085</v>
      </c>
      <c r="AR13" s="255">
        <v>4.4</v>
      </c>
      <c r="AS13" s="255">
        <f t="shared" si="1"/>
        <v>274.88499999999993</v>
      </c>
      <c r="AT13" s="250">
        <v>8.1</v>
      </c>
      <c r="AU13" s="250">
        <v>21.7</v>
      </c>
      <c r="AV13" s="250">
        <v>20.4</v>
      </c>
      <c r="AW13" s="250"/>
      <c r="AX13" s="250">
        <v>41.7</v>
      </c>
      <c r="AY13" s="250">
        <v>21.7</v>
      </c>
      <c r="AZ13" s="250">
        <v>21.1</v>
      </c>
      <c r="BA13" s="250">
        <v>48.1</v>
      </c>
      <c r="BB13" s="250">
        <v>27.44</v>
      </c>
      <c r="BC13" s="250">
        <v>43.2</v>
      </c>
      <c r="BD13" s="250">
        <v>36.4</v>
      </c>
      <c r="BE13" s="250">
        <v>14.44</v>
      </c>
      <c r="BF13" s="249">
        <f t="shared" si="0"/>
        <v>304.28</v>
      </c>
      <c r="BG13" s="250">
        <v>15.898</v>
      </c>
      <c r="BH13" s="250">
        <v>25.695</v>
      </c>
      <c r="BI13" s="250">
        <v>16.671</v>
      </c>
      <c r="BJ13" s="250">
        <v>11.541</v>
      </c>
      <c r="BK13" s="250">
        <v>28.815</v>
      </c>
      <c r="BL13" s="250">
        <v>18.805</v>
      </c>
      <c r="BM13" s="250"/>
      <c r="BN13" s="250">
        <v>9.48</v>
      </c>
      <c r="BO13" s="250">
        <v>21.2</v>
      </c>
      <c r="BP13" s="250">
        <v>19.2</v>
      </c>
      <c r="BQ13" s="250">
        <v>16.3</v>
      </c>
      <c r="BR13" s="250">
        <v>5.7</v>
      </c>
      <c r="BS13" s="250">
        <f t="shared" si="2"/>
        <v>189.305</v>
      </c>
      <c r="BT13" s="249">
        <f aca="true" t="shared" si="11" ref="BT13:BT40">SUM(BG13:BR13)</f>
        <v>189.305</v>
      </c>
      <c r="BU13" s="250">
        <v>13</v>
      </c>
      <c r="BV13" s="251">
        <v>24</v>
      </c>
      <c r="BW13" s="251">
        <v>1.5</v>
      </c>
      <c r="BX13" s="251">
        <v>3</v>
      </c>
      <c r="BY13" s="251">
        <v>2.9</v>
      </c>
      <c r="BZ13" s="251">
        <v>4.7</v>
      </c>
      <c r="CA13" s="251">
        <v>1.6</v>
      </c>
      <c r="CB13" s="251">
        <v>3.4</v>
      </c>
      <c r="CC13" s="251">
        <f>2.3+2.3</f>
        <v>4.6</v>
      </c>
      <c r="CD13" s="251">
        <v>3.6</v>
      </c>
      <c r="CE13" s="251">
        <v>2.9</v>
      </c>
      <c r="CF13" s="251">
        <v>2.2</v>
      </c>
      <c r="CG13" s="250">
        <f t="shared" si="3"/>
        <v>67.4</v>
      </c>
      <c r="CH13" s="251">
        <v>1.2</v>
      </c>
      <c r="CI13" s="252">
        <v>5.8</v>
      </c>
      <c r="CJ13" s="252">
        <v>3.3</v>
      </c>
      <c r="CK13" s="252">
        <v>1.5</v>
      </c>
      <c r="CL13" s="252">
        <f>0.838+0.55</f>
        <v>1.388</v>
      </c>
      <c r="CM13" s="252">
        <v>1.45</v>
      </c>
      <c r="CN13" s="252">
        <v>3.2</v>
      </c>
      <c r="CO13" s="252">
        <v>0.6</v>
      </c>
      <c r="CP13" s="252">
        <v>2.112232</v>
      </c>
      <c r="CQ13" s="252">
        <v>1.694717</v>
      </c>
      <c r="CR13" s="252">
        <v>0.5</v>
      </c>
      <c r="CS13" s="252">
        <v>31.6</v>
      </c>
      <c r="CT13" s="252">
        <f aca="true" t="shared" si="12" ref="CT13:CT40">SUM(CH13:CS13)</f>
        <v>54.344949</v>
      </c>
      <c r="CU13" s="252">
        <v>71.9</v>
      </c>
      <c r="CV13" s="250">
        <v>3.5</v>
      </c>
      <c r="CW13" s="250">
        <v>3.1</v>
      </c>
      <c r="CX13" s="250">
        <v>2.8</v>
      </c>
      <c r="CY13" s="250">
        <v>6.8</v>
      </c>
      <c r="CZ13" s="250">
        <v>5.4</v>
      </c>
      <c r="DA13" s="250">
        <v>1.3</v>
      </c>
      <c r="DB13" s="250">
        <v>2.07</v>
      </c>
      <c r="DC13" s="250">
        <v>1.41</v>
      </c>
      <c r="DD13" s="250">
        <v>5.441177</v>
      </c>
      <c r="DE13" s="250">
        <f>+'[1]exports_rubriques'!$G$6</f>
        <v>2.599158</v>
      </c>
      <c r="DF13" s="250">
        <v>4</v>
      </c>
      <c r="DG13" s="253">
        <f>SUM(CU13:DF13)</f>
        <v>110.32033499999999</v>
      </c>
      <c r="DH13" s="252">
        <v>2.955098</v>
      </c>
      <c r="DI13" s="252">
        <v>4.488746</v>
      </c>
      <c r="DJ13" s="252">
        <v>3.058349</v>
      </c>
      <c r="DK13" s="252">
        <v>5.4</v>
      </c>
      <c r="DL13" s="252">
        <v>2.24</v>
      </c>
      <c r="DM13" s="252">
        <v>6.6</v>
      </c>
      <c r="DN13" s="252">
        <v>5.2</v>
      </c>
      <c r="DO13" s="252">
        <v>2.454616</v>
      </c>
      <c r="DP13" s="252">
        <v>5.1</v>
      </c>
      <c r="DQ13" s="252">
        <v>6.623021</v>
      </c>
      <c r="DR13" s="252">
        <f>+'[2]EX1'!$E$7</f>
        <v>7.23091</v>
      </c>
      <c r="DS13" s="252">
        <v>2.9</v>
      </c>
      <c r="DT13" s="252">
        <f t="shared" si="4"/>
        <v>54.25074</v>
      </c>
      <c r="DU13" s="252">
        <v>2.84928</v>
      </c>
      <c r="DV13" s="252">
        <v>5.445918</v>
      </c>
      <c r="DW13" s="252">
        <v>8.155994</v>
      </c>
      <c r="DX13" s="250">
        <v>2.599807</v>
      </c>
      <c r="DY13" s="250">
        <v>7.63485893952</v>
      </c>
      <c r="DZ13" s="250">
        <v>3.7256233599999997</v>
      </c>
      <c r="EA13" s="250">
        <v>4.3056033908</v>
      </c>
      <c r="EB13" s="250">
        <v>3.87898065936</v>
      </c>
      <c r="EC13" s="250">
        <v>4.017580107</v>
      </c>
      <c r="ED13" s="250">
        <v>3.62309829</v>
      </c>
      <c r="EE13" s="250">
        <v>2.78546822348</v>
      </c>
      <c r="EF13" s="250">
        <v>6.246666052039999</v>
      </c>
      <c r="EG13" s="251">
        <f t="shared" si="5"/>
        <v>55.268878022200006</v>
      </c>
      <c r="EH13" s="251">
        <v>6.17232146088</v>
      </c>
      <c r="EI13" s="250">
        <v>6.52492452496</v>
      </c>
      <c r="EJ13" s="249">
        <v>2.27271542</v>
      </c>
      <c r="EK13" s="249">
        <v>4.07809711</v>
      </c>
      <c r="EL13" s="254">
        <v>3.69944375</v>
      </c>
      <c r="EM13" s="254">
        <v>3.46844808</v>
      </c>
      <c r="EN13" s="254">
        <v>2.42091127</v>
      </c>
      <c r="EO13" s="254">
        <v>0.45</v>
      </c>
      <c r="EP13" s="254">
        <v>2.94830084</v>
      </c>
      <c r="EQ13" s="254">
        <v>1.934447</v>
      </c>
      <c r="ER13" s="254">
        <v>1.480319</v>
      </c>
      <c r="ES13" s="254">
        <v>2.546153</v>
      </c>
      <c r="ET13" s="250">
        <f t="shared" si="6"/>
        <v>55.268878022200006</v>
      </c>
      <c r="EU13" s="250">
        <f t="shared" si="7"/>
        <v>37.99608145584</v>
      </c>
      <c r="EV13" s="250">
        <v>3.864207</v>
      </c>
      <c r="EW13" s="250">
        <v>4.232951</v>
      </c>
      <c r="EX13" s="250">
        <v>1.210227</v>
      </c>
      <c r="EY13" s="250">
        <v>2.039731</v>
      </c>
      <c r="EZ13" s="250">
        <v>2.201976</v>
      </c>
      <c r="FA13" s="250"/>
      <c r="FB13" s="250">
        <v>11.852035</v>
      </c>
      <c r="FC13" s="250">
        <v>1.439942</v>
      </c>
      <c r="FD13" s="250">
        <v>2.30296088</v>
      </c>
      <c r="FE13" s="250">
        <v>1.728678</v>
      </c>
      <c r="FF13" s="250"/>
      <c r="FG13" s="261">
        <v>0</v>
      </c>
      <c r="FH13" s="250">
        <v>2.350853</v>
      </c>
      <c r="FI13" s="250">
        <v>1.8</v>
      </c>
      <c r="FJ13" s="250">
        <v>2.417732</v>
      </c>
      <c r="FK13" s="250"/>
      <c r="FL13" s="250">
        <v>2.69432</v>
      </c>
      <c r="FM13" s="250">
        <v>8.998563</v>
      </c>
      <c r="FN13" s="250"/>
      <c r="FO13" s="250">
        <v>3.346459</v>
      </c>
      <c r="FP13" s="250"/>
      <c r="FQ13" s="250">
        <v>1.119542</v>
      </c>
      <c r="FR13" s="250">
        <v>32.568348</v>
      </c>
      <c r="FS13" s="250">
        <v>3.387973</v>
      </c>
      <c r="FT13" s="250">
        <v>3.005221</v>
      </c>
      <c r="FU13" s="250">
        <v>1.304869</v>
      </c>
      <c r="FV13" s="250">
        <v>5.089222</v>
      </c>
      <c r="FW13" s="250">
        <v>3.915201</v>
      </c>
      <c r="FX13" s="250">
        <v>4.997472</v>
      </c>
      <c r="FY13" s="250">
        <v>4.567462</v>
      </c>
      <c r="FZ13" s="250">
        <v>1.86288</v>
      </c>
      <c r="GA13" s="250">
        <v>2.699313</v>
      </c>
      <c r="GB13" s="250">
        <v>1.40791</v>
      </c>
      <c r="GC13" s="250">
        <v>1.704945</v>
      </c>
      <c r="GD13" s="250">
        <v>3.304631</v>
      </c>
      <c r="GE13" s="250"/>
      <c r="GF13" s="250">
        <v>5.662083</v>
      </c>
      <c r="GG13" s="250">
        <v>5.634555</v>
      </c>
      <c r="GH13" s="250">
        <v>2.76145</v>
      </c>
      <c r="GI13" s="250">
        <v>4.13135</v>
      </c>
      <c r="GJ13" s="250"/>
      <c r="GK13" s="250"/>
      <c r="GL13" s="250"/>
      <c r="GM13" s="250"/>
      <c r="GN13" s="250"/>
      <c r="GO13" s="250"/>
      <c r="GP13" s="250"/>
      <c r="GQ13" s="250"/>
      <c r="GR13" s="250">
        <f t="shared" si="8"/>
        <v>13.314513000000002</v>
      </c>
      <c r="GS13" s="250">
        <f t="shared" si="9"/>
        <v>18.189438</v>
      </c>
    </row>
    <row r="14" spans="1:201" ht="15.75">
      <c r="A14" s="31" t="s">
        <v>19</v>
      </c>
      <c r="B14" s="75" t="s">
        <v>20</v>
      </c>
      <c r="C14" s="62">
        <v>0.4</v>
      </c>
      <c r="D14" s="44"/>
      <c r="E14" s="63">
        <v>22.1</v>
      </c>
      <c r="F14" s="64">
        <v>5.2</v>
      </c>
      <c r="G14" s="64">
        <v>24.5</v>
      </c>
      <c r="H14" s="64">
        <v>88.1</v>
      </c>
      <c r="I14" s="64">
        <v>130.9</v>
      </c>
      <c r="J14" s="62">
        <v>21.8</v>
      </c>
      <c r="K14" s="64">
        <v>25.3</v>
      </c>
      <c r="L14" s="65">
        <v>8.3</v>
      </c>
      <c r="M14" s="66">
        <v>11.3</v>
      </c>
      <c r="N14" s="66">
        <v>4.5</v>
      </c>
      <c r="O14" s="67">
        <v>0.2</v>
      </c>
      <c r="P14" s="27">
        <v>72.2</v>
      </c>
      <c r="Q14" s="27">
        <v>77.2</v>
      </c>
      <c r="R14" s="68">
        <v>1.1</v>
      </c>
      <c r="S14" s="69">
        <v>10.5</v>
      </c>
      <c r="T14" s="69">
        <v>29</v>
      </c>
      <c r="U14" s="69">
        <v>6.8</v>
      </c>
      <c r="V14" s="68">
        <v>45.71</v>
      </c>
      <c r="W14" s="68">
        <v>36.022999999999996</v>
      </c>
      <c r="X14" s="197">
        <v>48.8</v>
      </c>
      <c r="Y14" s="237">
        <f aca="true" t="shared" si="13" ref="Y14:Y41">SUM(CH14:CS14)</f>
        <v>74.417474</v>
      </c>
      <c r="Z14" s="249">
        <f t="shared" si="10"/>
        <v>120.45348899999999</v>
      </c>
      <c r="AA14" s="249">
        <v>130.932024</v>
      </c>
      <c r="AB14" s="249">
        <v>394.68268127698</v>
      </c>
      <c r="AC14" s="249">
        <v>741.981655452753</v>
      </c>
      <c r="AD14" s="249">
        <v>523.345351522</v>
      </c>
      <c r="AE14" s="249">
        <v>169.76472400000003</v>
      </c>
      <c r="AF14" s="249">
        <v>165.54555200000004</v>
      </c>
      <c r="AG14" s="250">
        <v>0.8</v>
      </c>
      <c r="AH14" s="256">
        <v>1.9</v>
      </c>
      <c r="AI14" s="255">
        <v>1.3</v>
      </c>
      <c r="AJ14" s="255">
        <v>1.7</v>
      </c>
      <c r="AK14" s="255"/>
      <c r="AL14" s="255">
        <v>0</v>
      </c>
      <c r="AM14" s="256"/>
      <c r="AN14" s="256">
        <v>1.1</v>
      </c>
      <c r="AO14" s="255"/>
      <c r="AP14" s="256">
        <v>0</v>
      </c>
      <c r="AQ14" s="256"/>
      <c r="AR14" s="256"/>
      <c r="AS14" s="255">
        <f t="shared" si="1"/>
        <v>6.800000000000001</v>
      </c>
      <c r="AT14" s="250"/>
      <c r="AU14" s="250"/>
      <c r="AV14" s="250"/>
      <c r="AW14" s="250"/>
      <c r="AX14" s="250">
        <v>4.4</v>
      </c>
      <c r="AY14" s="250"/>
      <c r="AZ14" s="250"/>
      <c r="BA14" s="250"/>
      <c r="BB14" s="250">
        <v>3.705</v>
      </c>
      <c r="BC14" s="250">
        <v>3.3</v>
      </c>
      <c r="BD14" s="250">
        <v>19.938</v>
      </c>
      <c r="BE14" s="250">
        <v>14.367</v>
      </c>
      <c r="BF14" s="249">
        <f t="shared" si="0"/>
        <v>45.71</v>
      </c>
      <c r="BG14" s="250">
        <v>4.529</v>
      </c>
      <c r="BH14" s="250">
        <v>4.339</v>
      </c>
      <c r="BI14" s="250">
        <v>1.727</v>
      </c>
      <c r="BJ14" s="250">
        <v>1.7</v>
      </c>
      <c r="BK14" s="250">
        <f>2.6</f>
        <v>2.6</v>
      </c>
      <c r="BL14" s="250">
        <v>5.921</v>
      </c>
      <c r="BM14" s="250"/>
      <c r="BN14" s="250">
        <v>1.907</v>
      </c>
      <c r="BO14" s="250">
        <v>2.5</v>
      </c>
      <c r="BP14" s="250">
        <v>2.1</v>
      </c>
      <c r="BQ14" s="250">
        <v>6.9</v>
      </c>
      <c r="BR14" s="250">
        <v>1.8</v>
      </c>
      <c r="BS14" s="250">
        <f t="shared" si="2"/>
        <v>36.022999999999996</v>
      </c>
      <c r="BT14" s="249">
        <f t="shared" si="11"/>
        <v>36.022999999999996</v>
      </c>
      <c r="BU14" s="250">
        <v>1.5</v>
      </c>
      <c r="BV14" s="251">
        <v>1.9</v>
      </c>
      <c r="BW14" s="251">
        <f>3.2+0.2+2.3+2.7</f>
        <v>8.4</v>
      </c>
      <c r="BX14" s="251">
        <v>2.4</v>
      </c>
      <c r="BY14" s="251">
        <v>2.5</v>
      </c>
      <c r="BZ14" s="251">
        <v>4.2</v>
      </c>
      <c r="CA14" s="251">
        <v>1.5</v>
      </c>
      <c r="CB14" s="251">
        <v>4.2</v>
      </c>
      <c r="CC14" s="251">
        <f>1+3.7</f>
        <v>4.7</v>
      </c>
      <c r="CD14" s="251">
        <v>5.1</v>
      </c>
      <c r="CE14" s="251">
        <v>5.1</v>
      </c>
      <c r="CF14" s="251">
        <v>7.3</v>
      </c>
      <c r="CG14" s="250">
        <f t="shared" si="3"/>
        <v>48.8</v>
      </c>
      <c r="CH14" s="251">
        <v>6.5</v>
      </c>
      <c r="CI14" s="252">
        <v>4.1</v>
      </c>
      <c r="CJ14" s="252">
        <v>4.9</v>
      </c>
      <c r="CK14" s="252">
        <v>5.3</v>
      </c>
      <c r="CL14" s="252">
        <f>0.75+4.58</f>
        <v>5.33</v>
      </c>
      <c r="CM14" s="252">
        <v>8.65</v>
      </c>
      <c r="CN14" s="252">
        <v>10.5</v>
      </c>
      <c r="CO14" s="252">
        <v>7.1</v>
      </c>
      <c r="CP14" s="252">
        <v>5.946256999999999</v>
      </c>
      <c r="CQ14" s="252">
        <v>3.691217</v>
      </c>
      <c r="CR14" s="252">
        <v>6.8</v>
      </c>
      <c r="CS14" s="252">
        <v>5.6</v>
      </c>
      <c r="CT14" s="252">
        <f t="shared" si="12"/>
        <v>74.417474</v>
      </c>
      <c r="CU14" s="252">
        <v>5</v>
      </c>
      <c r="CV14" s="250">
        <v>8</v>
      </c>
      <c r="CW14" s="250">
        <v>6.9</v>
      </c>
      <c r="CX14" s="250">
        <v>10.6</v>
      </c>
      <c r="CY14" s="250">
        <v>5.9</v>
      </c>
      <c r="CZ14" s="250">
        <v>4.3</v>
      </c>
      <c r="DA14" s="250">
        <v>14.2</v>
      </c>
      <c r="DB14" s="250">
        <v>17.33</v>
      </c>
      <c r="DC14" s="250">
        <v>19.39</v>
      </c>
      <c r="DD14" s="250">
        <v>6.907832</v>
      </c>
      <c r="DE14" s="250">
        <f>+'[1]exports_rubriques'!$G$7</f>
        <v>14.625656999999999</v>
      </c>
      <c r="DF14" s="250">
        <v>7.3</v>
      </c>
      <c r="DG14" s="253">
        <f aca="true" t="shared" si="14" ref="DG14:DG37">SUM(CU14:DF14)</f>
        <v>120.45348899999999</v>
      </c>
      <c r="DH14" s="252">
        <v>6.008742</v>
      </c>
      <c r="DI14" s="252">
        <v>10.85196</v>
      </c>
      <c r="DJ14" s="252">
        <v>6.940113</v>
      </c>
      <c r="DK14" s="254">
        <v>10.7</v>
      </c>
      <c r="DL14" s="250">
        <v>11.9</v>
      </c>
      <c r="DM14" s="250">
        <v>13.1</v>
      </c>
      <c r="DN14" s="250">
        <v>14.3</v>
      </c>
      <c r="DO14" s="250">
        <v>11.392615</v>
      </c>
      <c r="DP14" s="250">
        <v>11.2</v>
      </c>
      <c r="DQ14" s="250">
        <v>10.239595</v>
      </c>
      <c r="DR14" s="250">
        <f>+'[2]EX1'!$E$8+'[2]EX1'!$E$9</f>
        <v>12.398999</v>
      </c>
      <c r="DS14" s="250">
        <v>11.9</v>
      </c>
      <c r="DT14" s="252">
        <f t="shared" si="4"/>
        <v>130.932024</v>
      </c>
      <c r="DU14" s="252">
        <v>13.494916</v>
      </c>
      <c r="DV14" s="252">
        <v>14.150067</v>
      </c>
      <c r="DW14" s="252">
        <v>11.851807</v>
      </c>
      <c r="DX14" s="250">
        <v>13.523831</v>
      </c>
      <c r="DY14" s="250">
        <v>12.439363490764</v>
      </c>
      <c r="DZ14" s="250">
        <v>25.836121900746</v>
      </c>
      <c r="EA14" s="250">
        <v>83.08935872388102</v>
      </c>
      <c r="EB14" s="250">
        <v>51.108239429556</v>
      </c>
      <c r="EC14" s="250">
        <v>45.27094906279499</v>
      </c>
      <c r="ED14" s="250">
        <v>58.99192853575401</v>
      </c>
      <c r="EE14" s="250">
        <v>38.774628364779005</v>
      </c>
      <c r="EF14" s="250">
        <v>26.151470768705003</v>
      </c>
      <c r="EG14" s="251">
        <f t="shared" si="5"/>
        <v>394.68268127698</v>
      </c>
      <c r="EH14" s="251">
        <v>52.130402078585</v>
      </c>
      <c r="EI14" s="250">
        <v>64.724389354168</v>
      </c>
      <c r="EJ14" s="249">
        <v>71.07054582</v>
      </c>
      <c r="EK14" s="249">
        <v>75.4470667</v>
      </c>
      <c r="EL14" s="254">
        <v>103.47707491999999</v>
      </c>
      <c r="EM14" s="254">
        <v>79.88229814</v>
      </c>
      <c r="EN14" s="254">
        <v>54.86547593</v>
      </c>
      <c r="EO14" s="254">
        <v>51.253060319999996</v>
      </c>
      <c r="EP14" s="254">
        <v>42.05603819</v>
      </c>
      <c r="EQ14" s="254">
        <v>63.471912</v>
      </c>
      <c r="ER14" s="254">
        <v>48.925728</v>
      </c>
      <c r="ES14" s="254">
        <v>34.677664</v>
      </c>
      <c r="ET14" s="250">
        <f t="shared" si="6"/>
        <v>394.68268127698</v>
      </c>
      <c r="EU14" s="250">
        <f t="shared" si="7"/>
        <v>741.981655452753</v>
      </c>
      <c r="EV14" s="250">
        <v>38.949483</v>
      </c>
      <c r="EW14" s="250">
        <v>73.667467</v>
      </c>
      <c r="EX14" s="250">
        <v>62.707488</v>
      </c>
      <c r="EY14" s="250">
        <v>25.036255</v>
      </c>
      <c r="EZ14" s="250">
        <v>36.1081</v>
      </c>
      <c r="FA14" s="250">
        <v>65.064422</v>
      </c>
      <c r="FB14" s="250">
        <v>59.7282</v>
      </c>
      <c r="FC14" s="250">
        <v>21.637407</v>
      </c>
      <c r="FD14" s="250">
        <v>42.893156522000005</v>
      </c>
      <c r="FE14" s="250">
        <v>46.511437</v>
      </c>
      <c r="FF14" s="250">
        <v>38.808282</v>
      </c>
      <c r="FG14" s="261">
        <v>12.233654</v>
      </c>
      <c r="FH14" s="250">
        <v>26.681767</v>
      </c>
      <c r="FI14" s="250">
        <v>13.698454</v>
      </c>
      <c r="FJ14" s="250">
        <v>18.880586</v>
      </c>
      <c r="FK14" s="250">
        <v>19.64705</v>
      </c>
      <c r="FL14" s="250">
        <v>16.392841</v>
      </c>
      <c r="FM14" s="250">
        <v>25.666842</v>
      </c>
      <c r="FN14" s="250">
        <v>23.211066</v>
      </c>
      <c r="FO14" s="250">
        <v>9.030941</v>
      </c>
      <c r="FP14" s="250">
        <v>6.070729</v>
      </c>
      <c r="FQ14" s="250">
        <v>5.083446</v>
      </c>
      <c r="FR14" s="250">
        <v>5.301002</v>
      </c>
      <c r="FS14" s="250">
        <v>0.1</v>
      </c>
      <c r="FT14" s="250"/>
      <c r="FU14" s="250"/>
      <c r="FV14" s="250">
        <v>1.1533</v>
      </c>
      <c r="FW14" s="250">
        <v>154.313052</v>
      </c>
      <c r="FX14" s="250"/>
      <c r="FY14" s="250">
        <v>0</v>
      </c>
      <c r="FZ14" s="250">
        <v>0.24</v>
      </c>
      <c r="GA14" s="250">
        <v>2.55</v>
      </c>
      <c r="GB14" s="250">
        <v>3.2692</v>
      </c>
      <c r="GC14" s="250">
        <v>4.02</v>
      </c>
      <c r="GD14" s="250"/>
      <c r="GE14" s="250"/>
      <c r="GF14" s="250"/>
      <c r="GG14" s="250">
        <v>0.3</v>
      </c>
      <c r="GH14" s="250">
        <v>1.33</v>
      </c>
      <c r="GI14" s="250">
        <v>0.88</v>
      </c>
      <c r="GJ14" s="250"/>
      <c r="GK14" s="250"/>
      <c r="GL14" s="250"/>
      <c r="GM14" s="250"/>
      <c r="GN14" s="250"/>
      <c r="GO14" s="250"/>
      <c r="GP14" s="250"/>
      <c r="GQ14" s="250"/>
      <c r="GR14" s="250">
        <f t="shared" si="8"/>
        <v>155.466352</v>
      </c>
      <c r="GS14" s="250">
        <f t="shared" si="9"/>
        <v>2.5100000000000002</v>
      </c>
    </row>
    <row r="15" spans="1:201" s="84" customFormat="1" ht="15.75">
      <c r="A15" s="74" t="s">
        <v>21</v>
      </c>
      <c r="B15" s="75" t="s">
        <v>22</v>
      </c>
      <c r="C15" s="76">
        <v>9.4</v>
      </c>
      <c r="D15" s="77"/>
      <c r="E15" s="78">
        <v>35.4</v>
      </c>
      <c r="F15" s="79">
        <v>30.2</v>
      </c>
      <c r="G15" s="79">
        <v>83.9</v>
      </c>
      <c r="H15" s="79">
        <v>123.1</v>
      </c>
      <c r="I15" s="79">
        <v>101.3</v>
      </c>
      <c r="J15" s="76">
        <v>100.6</v>
      </c>
      <c r="K15" s="79">
        <v>42.9</v>
      </c>
      <c r="L15" s="80">
        <v>6.8</v>
      </c>
      <c r="M15" s="81">
        <v>2.3</v>
      </c>
      <c r="N15" s="81">
        <v>8</v>
      </c>
      <c r="O15" s="82">
        <v>7.5</v>
      </c>
      <c r="P15" s="46">
        <v>3</v>
      </c>
      <c r="Q15" s="46">
        <v>0.2</v>
      </c>
      <c r="R15" s="73">
        <v>1.1</v>
      </c>
      <c r="S15" s="83">
        <v>0.2</v>
      </c>
      <c r="T15" s="83">
        <v>0.3</v>
      </c>
      <c r="U15" s="83" t="s">
        <v>14</v>
      </c>
      <c r="V15" s="73">
        <v>18.361</v>
      </c>
      <c r="W15" s="73">
        <v>128.00099999999998</v>
      </c>
      <c r="X15" s="229">
        <v>200.4</v>
      </c>
      <c r="Y15" s="237">
        <f t="shared" si="13"/>
        <v>113.870236</v>
      </c>
      <c r="Z15" s="249">
        <f t="shared" si="10"/>
        <v>102.65091</v>
      </c>
      <c r="AA15" s="249">
        <v>192.51359599999998</v>
      </c>
      <c r="AB15" s="249">
        <v>387.8839549304001</v>
      </c>
      <c r="AC15" s="249">
        <v>459.65330957846</v>
      </c>
      <c r="AD15" s="249">
        <v>399.7011000459001</v>
      </c>
      <c r="AE15" s="249">
        <v>599.256172</v>
      </c>
      <c r="AF15" s="249">
        <v>446.50011400000005</v>
      </c>
      <c r="AG15" s="252" t="s">
        <v>14</v>
      </c>
      <c r="AH15" s="258"/>
      <c r="AI15" s="258"/>
      <c r="AJ15" s="257"/>
      <c r="AK15" s="257"/>
      <c r="AL15" s="257">
        <v>0</v>
      </c>
      <c r="AM15" s="257" t="s">
        <v>14</v>
      </c>
      <c r="AN15" s="258">
        <v>0</v>
      </c>
      <c r="AO15" s="257"/>
      <c r="AP15" s="258">
        <v>0</v>
      </c>
      <c r="AQ15" s="257"/>
      <c r="AR15" s="258"/>
      <c r="AS15" s="255">
        <f t="shared" si="1"/>
        <v>0</v>
      </c>
      <c r="AT15" s="252"/>
      <c r="AU15" s="252"/>
      <c r="AV15" s="252"/>
      <c r="AW15" s="252"/>
      <c r="AX15" s="252">
        <v>2.1</v>
      </c>
      <c r="AY15" s="252">
        <v>0.6</v>
      </c>
      <c r="AZ15" s="252"/>
      <c r="BA15" s="252"/>
      <c r="BB15" s="252">
        <v>3.621</v>
      </c>
      <c r="BC15" s="252">
        <v>6.9</v>
      </c>
      <c r="BD15" s="252">
        <v>2.7</v>
      </c>
      <c r="BE15" s="252">
        <v>2.44</v>
      </c>
      <c r="BF15" s="253">
        <f t="shared" si="0"/>
        <v>18.361</v>
      </c>
      <c r="BG15" s="252">
        <v>0.837</v>
      </c>
      <c r="BH15" s="252">
        <v>6.041</v>
      </c>
      <c r="BI15" s="252">
        <v>10.446</v>
      </c>
      <c r="BJ15" s="252">
        <v>15.13</v>
      </c>
      <c r="BK15" s="252">
        <v>21.968</v>
      </c>
      <c r="BL15" s="252">
        <v>14.07</v>
      </c>
      <c r="BM15" s="252">
        <v>6.551</v>
      </c>
      <c r="BN15" s="252">
        <v>9.498</v>
      </c>
      <c r="BO15" s="252">
        <v>15.8</v>
      </c>
      <c r="BP15" s="252">
        <v>10.1</v>
      </c>
      <c r="BQ15" s="252">
        <v>11.58</v>
      </c>
      <c r="BR15" s="252">
        <v>5.98</v>
      </c>
      <c r="BS15" s="252">
        <f t="shared" si="2"/>
        <v>128.00099999999998</v>
      </c>
      <c r="BT15" s="249">
        <f t="shared" si="11"/>
        <v>128.00099999999998</v>
      </c>
      <c r="BU15" s="252">
        <v>11.1</v>
      </c>
      <c r="BV15" s="259">
        <v>18.5</v>
      </c>
      <c r="BW15" s="252">
        <v>35.7</v>
      </c>
      <c r="BX15" s="259">
        <v>17.1</v>
      </c>
      <c r="BY15" s="259">
        <v>16.3</v>
      </c>
      <c r="BZ15" s="259">
        <v>17.6</v>
      </c>
      <c r="CA15" s="259">
        <v>8.7</v>
      </c>
      <c r="CB15" s="259">
        <v>18.1</v>
      </c>
      <c r="CC15" s="259">
        <f>5.1+0.9+0.7+0.9+7.4+5.9</f>
        <v>20.9</v>
      </c>
      <c r="CD15" s="259">
        <v>9.3</v>
      </c>
      <c r="CE15" s="259">
        <v>13.6</v>
      </c>
      <c r="CF15" s="259">
        <v>13.5</v>
      </c>
      <c r="CG15" s="250">
        <f t="shared" si="3"/>
        <v>200.40000000000003</v>
      </c>
      <c r="CH15" s="259">
        <v>17</v>
      </c>
      <c r="CI15" s="252">
        <v>9.5</v>
      </c>
      <c r="CJ15" s="252">
        <v>14.4</v>
      </c>
      <c r="CK15" s="252">
        <v>15.6</v>
      </c>
      <c r="CL15" s="252">
        <f>4.17+0.79+2.4+2.01</f>
        <v>9.37</v>
      </c>
      <c r="CM15" s="252">
        <v>8.5</v>
      </c>
      <c r="CN15" s="252">
        <v>3.6</v>
      </c>
      <c r="CO15" s="252">
        <v>4.9</v>
      </c>
      <c r="CP15" s="252">
        <v>9.473422</v>
      </c>
      <c r="CQ15" s="252">
        <v>7.626814</v>
      </c>
      <c r="CR15" s="252">
        <v>9.5</v>
      </c>
      <c r="CS15" s="252">
        <v>4.4</v>
      </c>
      <c r="CT15" s="252">
        <f t="shared" si="12"/>
        <v>113.870236</v>
      </c>
      <c r="CU15" s="252">
        <v>7.1</v>
      </c>
      <c r="CV15" s="252">
        <v>12.3</v>
      </c>
      <c r="CW15" s="252">
        <v>10.8</v>
      </c>
      <c r="CX15" s="252">
        <v>11.8</v>
      </c>
      <c r="CY15" s="252">
        <v>9.7</v>
      </c>
      <c r="CZ15" s="252">
        <v>10.2</v>
      </c>
      <c r="DA15" s="252">
        <v>1.9</v>
      </c>
      <c r="DB15" s="252">
        <v>2.67</v>
      </c>
      <c r="DC15" s="252">
        <v>8.56</v>
      </c>
      <c r="DD15" s="252">
        <v>8.771493</v>
      </c>
      <c r="DE15" s="252">
        <f>+'[1]exports_rubriques'!$G$11</f>
        <v>11.049417</v>
      </c>
      <c r="DF15" s="252">
        <v>7.8</v>
      </c>
      <c r="DG15" s="253">
        <f t="shared" si="14"/>
        <v>102.65091</v>
      </c>
      <c r="DH15" s="252">
        <v>9.266161</v>
      </c>
      <c r="DI15" s="252">
        <v>8.287018</v>
      </c>
      <c r="DJ15" s="252">
        <v>10.797275</v>
      </c>
      <c r="DK15" s="252">
        <v>12.9</v>
      </c>
      <c r="DL15" s="252">
        <v>18.548</v>
      </c>
      <c r="DM15" s="252">
        <v>18.2</v>
      </c>
      <c r="DN15" s="252">
        <v>10.4</v>
      </c>
      <c r="DO15" s="252">
        <v>10.360716</v>
      </c>
      <c r="DP15" s="252">
        <v>26.4</v>
      </c>
      <c r="DQ15" s="252">
        <v>36.999084</v>
      </c>
      <c r="DR15" s="252">
        <f>+SUM('[2]EX1'!$E$10:$E$15)</f>
        <v>18.255342</v>
      </c>
      <c r="DS15" s="252">
        <v>12.1</v>
      </c>
      <c r="DT15" s="252">
        <f t="shared" si="4"/>
        <v>192.51359599999998</v>
      </c>
      <c r="DU15" s="252">
        <v>16.602916</v>
      </c>
      <c r="DV15" s="252">
        <v>24.017431</v>
      </c>
      <c r="DW15" s="252">
        <v>28.652885</v>
      </c>
      <c r="DX15" s="250">
        <v>49.411871</v>
      </c>
      <c r="DY15" s="250">
        <v>68.127246239564</v>
      </c>
      <c r="DZ15" s="250">
        <v>78.50988808487303</v>
      </c>
      <c r="EA15" s="250">
        <v>31.270553266464002</v>
      </c>
      <c r="EB15" s="250">
        <v>12.14220884252</v>
      </c>
      <c r="EC15" s="250">
        <v>20.26910218428</v>
      </c>
      <c r="ED15" s="250">
        <v>24.050264517739997</v>
      </c>
      <c r="EE15" s="250">
        <v>18.005685472779003</v>
      </c>
      <c r="EF15" s="250">
        <v>16.823903322179994</v>
      </c>
      <c r="EG15" s="251">
        <f t="shared" si="5"/>
        <v>387.8839549304001</v>
      </c>
      <c r="EH15" s="259">
        <v>15.937116371100002</v>
      </c>
      <c r="EI15" s="252">
        <v>26.456590687359995</v>
      </c>
      <c r="EJ15" s="253">
        <v>43.00167388</v>
      </c>
      <c r="EK15" s="253">
        <v>45.367569630000006</v>
      </c>
      <c r="EL15" s="257">
        <v>83.23103093000002</v>
      </c>
      <c r="EM15" s="257">
        <v>78.33601596000001</v>
      </c>
      <c r="EN15" s="257">
        <v>32.43643456</v>
      </c>
      <c r="EO15" s="254">
        <v>13.669344089999996</v>
      </c>
      <c r="EP15" s="257">
        <v>27.16131247</v>
      </c>
      <c r="EQ15" s="257">
        <v>37.222343</v>
      </c>
      <c r="ER15" s="257">
        <v>27.276035</v>
      </c>
      <c r="ES15" s="257">
        <v>29.557843</v>
      </c>
      <c r="ET15" s="250">
        <f t="shared" si="6"/>
        <v>387.8839549304001</v>
      </c>
      <c r="EU15" s="250">
        <f t="shared" si="7"/>
        <v>459.65330957846</v>
      </c>
      <c r="EV15" s="250">
        <v>49.174033</v>
      </c>
      <c r="EW15" s="250">
        <v>44.635801</v>
      </c>
      <c r="EX15" s="250">
        <v>29.189565</v>
      </c>
      <c r="EY15" s="250">
        <v>31.38018</v>
      </c>
      <c r="EZ15" s="250">
        <v>63.559682</v>
      </c>
      <c r="FA15" s="250">
        <v>53.813742</v>
      </c>
      <c r="FB15" s="250">
        <v>24.980316</v>
      </c>
      <c r="FC15" s="250">
        <v>6.775707</v>
      </c>
      <c r="FD15" s="250">
        <v>14.8810970459</v>
      </c>
      <c r="FE15" s="250">
        <v>28.51512</v>
      </c>
      <c r="FF15" s="250">
        <v>24.042498</v>
      </c>
      <c r="FG15" s="261">
        <v>28.753359</v>
      </c>
      <c r="FH15" s="250">
        <v>26.734922</v>
      </c>
      <c r="FI15" s="250">
        <v>27.276059</v>
      </c>
      <c r="FJ15" s="250">
        <v>25.491153</v>
      </c>
      <c r="FK15" s="250">
        <v>31.172205</v>
      </c>
      <c r="FL15" s="250">
        <v>36.391136</v>
      </c>
      <c r="FM15" s="250">
        <v>78.780122</v>
      </c>
      <c r="FN15" s="250">
        <v>41.134098</v>
      </c>
      <c r="FO15" s="250">
        <v>44.999084</v>
      </c>
      <c r="FP15" s="250">
        <v>92.498073</v>
      </c>
      <c r="FQ15" s="250">
        <v>92.140363</v>
      </c>
      <c r="FR15" s="250">
        <v>57.793957</v>
      </c>
      <c r="FS15" s="250">
        <v>44.845</v>
      </c>
      <c r="FT15" s="250">
        <v>14.112</v>
      </c>
      <c r="FU15" s="250">
        <v>13.58624</v>
      </c>
      <c r="FV15" s="250">
        <v>24.525</v>
      </c>
      <c r="FW15" s="250">
        <v>13.373331</v>
      </c>
      <c r="FX15" s="250">
        <v>18.71</v>
      </c>
      <c r="FY15" s="250">
        <v>33.946671</v>
      </c>
      <c r="FZ15" s="250">
        <v>37.477111</v>
      </c>
      <c r="GA15" s="250">
        <v>43.91</v>
      </c>
      <c r="GB15" s="250">
        <v>37.666146</v>
      </c>
      <c r="GC15" s="250">
        <v>98.95</v>
      </c>
      <c r="GD15" s="250">
        <v>69.134916</v>
      </c>
      <c r="GE15" s="250">
        <v>41.108699</v>
      </c>
      <c r="GF15" s="250">
        <v>101.409479</v>
      </c>
      <c r="GG15" s="250">
        <v>66.452858</v>
      </c>
      <c r="GH15" s="250">
        <v>39.57752</v>
      </c>
      <c r="GI15" s="250">
        <v>21.26908</v>
      </c>
      <c r="GJ15" s="250"/>
      <c r="GK15" s="250"/>
      <c r="GL15" s="250"/>
      <c r="GM15" s="250"/>
      <c r="GN15" s="250"/>
      <c r="GO15" s="250"/>
      <c r="GP15" s="250"/>
      <c r="GQ15" s="250"/>
      <c r="GR15" s="250">
        <f t="shared" si="8"/>
        <v>65.596571</v>
      </c>
      <c r="GS15" s="250">
        <f t="shared" si="9"/>
        <v>228.70893700000002</v>
      </c>
    </row>
    <row r="16" spans="1:201" s="84" customFormat="1" ht="15.75">
      <c r="A16" s="74" t="s">
        <v>23</v>
      </c>
      <c r="B16" s="75" t="s">
        <v>127</v>
      </c>
      <c r="C16" s="76">
        <v>16009.5</v>
      </c>
      <c r="D16" s="77"/>
      <c r="E16" s="78">
        <v>9670.1</v>
      </c>
      <c r="F16" s="79">
        <v>13519.4</v>
      </c>
      <c r="G16" s="79">
        <v>10033.4</v>
      </c>
      <c r="H16" s="79">
        <v>8838</v>
      </c>
      <c r="I16" s="79">
        <v>23710.3</v>
      </c>
      <c r="J16" s="76">
        <v>20175.2</v>
      </c>
      <c r="K16" s="79">
        <v>7642.4</v>
      </c>
      <c r="L16" s="80">
        <v>26981.7</v>
      </c>
      <c r="M16" s="80">
        <v>22857.9</v>
      </c>
      <c r="N16" s="80">
        <v>23643.2</v>
      </c>
      <c r="O16" s="85">
        <v>24419.9</v>
      </c>
      <c r="P16" s="86">
        <v>16326.3</v>
      </c>
      <c r="Q16" s="86">
        <v>15584</v>
      </c>
      <c r="R16" s="73">
        <v>24837.5</v>
      </c>
      <c r="S16" s="73">
        <v>33031.52005087931</v>
      </c>
      <c r="T16" s="83">
        <v>46610.84392744357</v>
      </c>
      <c r="U16" s="83">
        <v>40371.7072042386</v>
      </c>
      <c r="V16" s="73">
        <v>41684.2793593637</v>
      </c>
      <c r="W16" s="73">
        <v>47184.24517549114</v>
      </c>
      <c r="X16" s="229">
        <v>48733</v>
      </c>
      <c r="Y16" s="237">
        <f t="shared" si="13"/>
        <v>85814.3</v>
      </c>
      <c r="Z16" s="249">
        <f t="shared" si="10"/>
        <v>95281.94934899999</v>
      </c>
      <c r="AA16" s="249">
        <v>100998.709831</v>
      </c>
      <c r="AB16" s="249">
        <v>44529.75926099552</v>
      </c>
      <c r="AC16" s="249">
        <v>84988.39893115648</v>
      </c>
      <c r="AD16" s="249">
        <v>62685.46859134</v>
      </c>
      <c r="AE16" s="249">
        <v>74825.09086899999</v>
      </c>
      <c r="AF16" s="249">
        <v>63433.358501</v>
      </c>
      <c r="AG16" s="252">
        <v>814.4902243754434</v>
      </c>
      <c r="AH16" s="255">
        <v>1245.9456976330002</v>
      </c>
      <c r="AI16" s="255">
        <v>907.0172977450635</v>
      </c>
      <c r="AJ16" s="255">
        <v>1067.5568227965</v>
      </c>
      <c r="AK16" s="255">
        <v>364.4861245872</v>
      </c>
      <c r="AL16" s="255">
        <v>124.7634089546</v>
      </c>
      <c r="AM16" s="255">
        <v>435.8155067396</v>
      </c>
      <c r="AN16" s="255">
        <v>5156.1640581458005</v>
      </c>
      <c r="AO16" s="255">
        <v>5527.253147702299</v>
      </c>
      <c r="AP16" s="255">
        <v>7977.3918458862</v>
      </c>
      <c r="AQ16" s="255">
        <v>6755.753887416799</v>
      </c>
      <c r="AR16" s="255">
        <v>9995.069182256098</v>
      </c>
      <c r="AS16" s="255">
        <f t="shared" si="1"/>
        <v>40371.7072042386</v>
      </c>
      <c r="AT16" s="252">
        <v>6892.123329568</v>
      </c>
      <c r="AU16" s="252">
        <v>3157.5049899374003</v>
      </c>
      <c r="AV16" s="252">
        <v>2569.1938791999996</v>
      </c>
      <c r="AW16" s="252">
        <v>7743.835752444002</v>
      </c>
      <c r="AX16" s="252">
        <v>1697.3052132927996</v>
      </c>
      <c r="AY16" s="252">
        <v>3360.9129475735995</v>
      </c>
      <c r="AZ16" s="252">
        <v>442.46142929779995</v>
      </c>
      <c r="BA16" s="260">
        <v>1492.1629238664002</v>
      </c>
      <c r="BB16" s="260">
        <v>4168.1544643120005</v>
      </c>
      <c r="BC16" s="260">
        <v>4568.738547190701</v>
      </c>
      <c r="BD16" s="260">
        <v>4396.5119397405</v>
      </c>
      <c r="BE16" s="260">
        <v>1195.3739429405</v>
      </c>
      <c r="BF16" s="253">
        <f t="shared" si="0"/>
        <v>41684.2793593637</v>
      </c>
      <c r="BG16" s="252">
        <v>1863.2418375870002</v>
      </c>
      <c r="BH16" s="252">
        <v>3232.5417634904998</v>
      </c>
      <c r="BI16" s="252">
        <v>0</v>
      </c>
      <c r="BJ16" s="252">
        <v>39.07723085280001</v>
      </c>
      <c r="BK16" s="252">
        <v>590.7479407413001</v>
      </c>
      <c r="BL16" s="252">
        <v>3401.0996744667</v>
      </c>
      <c r="BM16" s="252">
        <v>2795.035074579</v>
      </c>
      <c r="BN16" s="252">
        <v>8657.494785715773</v>
      </c>
      <c r="BO16" s="252">
        <v>7078.9353373966</v>
      </c>
      <c r="BP16" s="252">
        <v>7235.3837558102705</v>
      </c>
      <c r="BQ16" s="252">
        <v>5720.2715792409</v>
      </c>
      <c r="BR16" s="252">
        <v>6570.416195610299</v>
      </c>
      <c r="BS16" s="252">
        <f t="shared" si="2"/>
        <v>47184.24517549114</v>
      </c>
      <c r="BT16" s="249">
        <f t="shared" si="11"/>
        <v>47184.24517549114</v>
      </c>
      <c r="BU16" s="252">
        <v>7251.907769</v>
      </c>
      <c r="BV16" s="252">
        <v>8768.497367</v>
      </c>
      <c r="BW16" s="252">
        <v>6747.526496</v>
      </c>
      <c r="BX16" s="252">
        <v>5756.885025</v>
      </c>
      <c r="BY16" s="252">
        <v>2350.318928</v>
      </c>
      <c r="BZ16" s="252">
        <v>1050.692605</v>
      </c>
      <c r="CA16" s="252">
        <v>639.610776</v>
      </c>
      <c r="CB16" s="252">
        <v>1402.090021</v>
      </c>
      <c r="CC16" s="252">
        <v>5227.218239</v>
      </c>
      <c r="CD16" s="252">
        <v>3462.025467</v>
      </c>
      <c r="CE16" s="252">
        <v>2243.164832</v>
      </c>
      <c r="CF16" s="252">
        <v>3833.055515</v>
      </c>
      <c r="CG16" s="250">
        <f t="shared" si="3"/>
        <v>48732.99304</v>
      </c>
      <c r="CH16" s="252">
        <v>1092.5</v>
      </c>
      <c r="CI16" s="252">
        <v>1371.3</v>
      </c>
      <c r="CJ16" s="252">
        <v>828.2</v>
      </c>
      <c r="CK16" s="252">
        <v>645.5</v>
      </c>
      <c r="CL16" s="252">
        <v>574.7</v>
      </c>
      <c r="CM16" s="252">
        <v>89.4</v>
      </c>
      <c r="CN16" s="252">
        <v>3719</v>
      </c>
      <c r="CO16" s="252">
        <v>14310</v>
      </c>
      <c r="CP16" s="252">
        <v>10051.4</v>
      </c>
      <c r="CQ16" s="252">
        <v>15810.4</v>
      </c>
      <c r="CR16" s="252">
        <v>18493.6</v>
      </c>
      <c r="CS16" s="252">
        <v>18828.3</v>
      </c>
      <c r="CT16" s="252">
        <f t="shared" si="12"/>
        <v>85814.3</v>
      </c>
      <c r="CU16" s="252">
        <v>3903.6</v>
      </c>
      <c r="CV16" s="252">
        <v>6917.1</v>
      </c>
      <c r="CW16" s="252">
        <v>7037.2</v>
      </c>
      <c r="CX16" s="252">
        <v>3420.9</v>
      </c>
      <c r="CY16" s="252">
        <v>1154.5</v>
      </c>
      <c r="CZ16" s="252">
        <v>720</v>
      </c>
      <c r="DA16" s="252">
        <v>7668</v>
      </c>
      <c r="DB16" s="252">
        <v>8101.39</v>
      </c>
      <c r="DC16" s="252">
        <v>23317.21</v>
      </c>
      <c r="DD16" s="252">
        <v>14888.417965</v>
      </c>
      <c r="DE16" s="252">
        <f>+'[1]exports_rubriques'!$G$15</f>
        <v>9037.931384</v>
      </c>
      <c r="DF16" s="252">
        <v>9115.7</v>
      </c>
      <c r="DG16" s="253">
        <f t="shared" si="14"/>
        <v>95281.94934899999</v>
      </c>
      <c r="DH16" s="252">
        <v>5254.001624</v>
      </c>
      <c r="DI16" s="252">
        <v>1390.217961</v>
      </c>
      <c r="DJ16" s="252">
        <v>7037.23435</v>
      </c>
      <c r="DK16" s="252">
        <v>835.7</v>
      </c>
      <c r="DL16" s="252">
        <v>223.86</v>
      </c>
      <c r="DM16" s="252">
        <v>2341.9</v>
      </c>
      <c r="DN16" s="252">
        <v>10477.4</v>
      </c>
      <c r="DO16" s="252">
        <v>14797.224178999999</v>
      </c>
      <c r="DP16" s="252">
        <v>17877.3</v>
      </c>
      <c r="DQ16" s="252">
        <v>15822.221277</v>
      </c>
      <c r="DR16" s="252">
        <f>+SUM('[2]EX1'!$E$16:$E$31)</f>
        <v>15172.250439999998</v>
      </c>
      <c r="DS16" s="252">
        <v>9769.4</v>
      </c>
      <c r="DT16" s="252">
        <f t="shared" si="4"/>
        <v>100998.709831</v>
      </c>
      <c r="DU16" s="252">
        <v>7749.84428</v>
      </c>
      <c r="DV16" s="252">
        <v>3267.396968</v>
      </c>
      <c r="DW16" s="252">
        <v>3133.088065</v>
      </c>
      <c r="DX16" s="252">
        <v>228.570803</v>
      </c>
      <c r="DY16" s="252">
        <v>115.941267556832</v>
      </c>
      <c r="DZ16" s="252">
        <v>1.68</v>
      </c>
      <c r="EA16" s="250">
        <v>0.045</v>
      </c>
      <c r="EB16" s="250">
        <v>4231.617540558998</v>
      </c>
      <c r="EC16" s="250">
        <v>7339.684973365444</v>
      </c>
      <c r="ED16" s="250">
        <v>6582.498082633488</v>
      </c>
      <c r="EE16" s="250">
        <v>5328.995236217261</v>
      </c>
      <c r="EF16" s="250">
        <v>6550.397044663492</v>
      </c>
      <c r="EG16" s="251">
        <f t="shared" si="5"/>
        <v>44529.75926099552</v>
      </c>
      <c r="EH16" s="259">
        <v>2726.422524923283</v>
      </c>
      <c r="EI16" s="252">
        <v>2139.9099575232053</v>
      </c>
      <c r="EJ16" s="253">
        <v>1128.8812073800002</v>
      </c>
      <c r="EK16" s="253">
        <v>1748.53722504</v>
      </c>
      <c r="EL16" s="257">
        <v>1296.3304086499998</v>
      </c>
      <c r="EM16" s="257">
        <v>1163.36212633</v>
      </c>
      <c r="EN16" s="257">
        <v>8080.244646989999</v>
      </c>
      <c r="EO16" s="254">
        <v>11593.217399890002</v>
      </c>
      <c r="EP16" s="257">
        <v>14609.080686429998</v>
      </c>
      <c r="EQ16" s="257">
        <v>15311.807319</v>
      </c>
      <c r="ER16" s="257">
        <v>14230.972158</v>
      </c>
      <c r="ES16" s="257">
        <v>10959.633271</v>
      </c>
      <c r="ET16" s="250">
        <f t="shared" si="6"/>
        <v>44529.75926099552</v>
      </c>
      <c r="EU16" s="250">
        <f t="shared" si="7"/>
        <v>84988.39893115648</v>
      </c>
      <c r="EV16" s="250">
        <v>4181.882101</v>
      </c>
      <c r="EW16" s="250">
        <v>2510.027975</v>
      </c>
      <c r="EX16" s="250">
        <v>131.40483</v>
      </c>
      <c r="EY16" s="250">
        <v>102.258616</v>
      </c>
      <c r="EZ16" s="250">
        <v>231.933357</v>
      </c>
      <c r="FA16" s="250">
        <v>1886.232879</v>
      </c>
      <c r="FB16" s="250">
        <v>4905.746465</v>
      </c>
      <c r="FC16" s="250">
        <v>9244.075005</v>
      </c>
      <c r="FD16" s="250">
        <v>9289.370440340002</v>
      </c>
      <c r="FE16" s="250">
        <v>7898.470654</v>
      </c>
      <c r="FF16" s="250">
        <v>14242.821314</v>
      </c>
      <c r="FG16" s="261">
        <v>8061.244955</v>
      </c>
      <c r="FH16" s="250">
        <v>4941.736943</v>
      </c>
      <c r="FI16" s="250">
        <v>9082.157986</v>
      </c>
      <c r="FJ16" s="250">
        <v>1896.18984</v>
      </c>
      <c r="FK16" s="250">
        <v>975.768539</v>
      </c>
      <c r="FL16" s="250">
        <v>709.014079</v>
      </c>
      <c r="FM16" s="250">
        <v>757.882176</v>
      </c>
      <c r="FN16" s="250">
        <v>5800.327814</v>
      </c>
      <c r="FO16" s="250">
        <v>11349.566342999999</v>
      </c>
      <c r="FP16" s="250">
        <v>10854.090729</v>
      </c>
      <c r="FQ16" s="250">
        <v>8627.147602</v>
      </c>
      <c r="FR16" s="250">
        <v>10821.783451</v>
      </c>
      <c r="FS16" s="250">
        <v>9009.425367</v>
      </c>
      <c r="FT16" s="250">
        <v>3785.193548</v>
      </c>
      <c r="FU16" s="250">
        <v>904.474692</v>
      </c>
      <c r="FV16" s="250">
        <v>771.038471</v>
      </c>
      <c r="FW16" s="250">
        <v>0.4</v>
      </c>
      <c r="FX16" s="250">
        <v>409.031588</v>
      </c>
      <c r="FY16" s="250">
        <v>385.117549</v>
      </c>
      <c r="FZ16" s="250">
        <v>5799.651341</v>
      </c>
      <c r="GA16" s="250">
        <v>5707.062956</v>
      </c>
      <c r="GB16" s="250">
        <v>10847.289384</v>
      </c>
      <c r="GC16" s="250">
        <v>11906.450519</v>
      </c>
      <c r="GD16" s="250">
        <v>10285.878516</v>
      </c>
      <c r="GE16" s="250">
        <v>12631.769937</v>
      </c>
      <c r="GF16" s="250">
        <v>12138.443376</v>
      </c>
      <c r="GG16" s="250">
        <v>3612.401131</v>
      </c>
      <c r="GH16" s="250">
        <v>5784.656259</v>
      </c>
      <c r="GI16" s="250">
        <v>2377.18569</v>
      </c>
      <c r="GJ16" s="250"/>
      <c r="GK16" s="250"/>
      <c r="GL16" s="250"/>
      <c r="GM16" s="250"/>
      <c r="GN16" s="250"/>
      <c r="GO16" s="250"/>
      <c r="GP16" s="250"/>
      <c r="GQ16" s="250"/>
      <c r="GR16" s="250">
        <f t="shared" si="8"/>
        <v>5461.106710999999</v>
      </c>
      <c r="GS16" s="250">
        <f t="shared" si="9"/>
        <v>23912.686456</v>
      </c>
    </row>
    <row r="17" spans="1:201" s="84" customFormat="1" ht="18">
      <c r="A17" s="74" t="s">
        <v>24</v>
      </c>
      <c r="B17" s="87" t="s">
        <v>128</v>
      </c>
      <c r="C17" s="79">
        <v>734.7</v>
      </c>
      <c r="D17" s="77"/>
      <c r="E17" s="78">
        <v>1145.4</v>
      </c>
      <c r="F17" s="79">
        <v>1514.2</v>
      </c>
      <c r="G17" s="79">
        <v>1898.9</v>
      </c>
      <c r="H17" s="79">
        <v>2146.3</v>
      </c>
      <c r="I17" s="79">
        <v>2741</v>
      </c>
      <c r="J17" s="76">
        <v>2399.7</v>
      </c>
      <c r="K17" s="79">
        <v>1640.8</v>
      </c>
      <c r="L17" s="80">
        <v>3176.3</v>
      </c>
      <c r="M17" s="80">
        <v>4912</v>
      </c>
      <c r="N17" s="80">
        <v>6133.1</v>
      </c>
      <c r="O17" s="85">
        <v>8694.6</v>
      </c>
      <c r="P17" s="86">
        <v>8760.4</v>
      </c>
      <c r="Q17" s="86">
        <v>8181.7</v>
      </c>
      <c r="R17" s="73">
        <v>11114.6</v>
      </c>
      <c r="S17" s="73">
        <v>11245.8</v>
      </c>
      <c r="T17" s="83">
        <v>9564.8</v>
      </c>
      <c r="U17" s="83">
        <v>10238.4</v>
      </c>
      <c r="V17" s="73">
        <v>9924.5</v>
      </c>
      <c r="W17" s="73">
        <v>15531.1</v>
      </c>
      <c r="X17" s="229">
        <v>18945.64</v>
      </c>
      <c r="Y17" s="237">
        <f t="shared" si="13"/>
        <v>21919.630517</v>
      </c>
      <c r="Z17" s="249">
        <f t="shared" si="10"/>
        <v>26838.96672</v>
      </c>
      <c r="AA17" s="249">
        <v>36643.373988</v>
      </c>
      <c r="AB17" s="249">
        <v>37352.23315379851</v>
      </c>
      <c r="AC17" s="249">
        <v>37513.398085294975</v>
      </c>
      <c r="AD17" s="249">
        <v>53630.906616063905</v>
      </c>
      <c r="AE17" s="249">
        <v>38250.24215880781</v>
      </c>
      <c r="AF17" s="249">
        <v>50068.94224000001</v>
      </c>
      <c r="AG17" s="252">
        <v>825.6</v>
      </c>
      <c r="AH17" s="255">
        <v>734</v>
      </c>
      <c r="AI17" s="255">
        <v>855.2</v>
      </c>
      <c r="AJ17" s="255">
        <v>945.4</v>
      </c>
      <c r="AK17" s="258">
        <v>1660.4</v>
      </c>
      <c r="AL17" s="255">
        <v>845.3</v>
      </c>
      <c r="AM17" s="255">
        <v>1415.1</v>
      </c>
      <c r="AN17" s="255">
        <v>1053.9</v>
      </c>
      <c r="AO17" s="255">
        <v>540.8</v>
      </c>
      <c r="AP17" s="255">
        <v>484</v>
      </c>
      <c r="AQ17" s="255">
        <v>396.9</v>
      </c>
      <c r="AR17" s="255">
        <v>481.8</v>
      </c>
      <c r="AS17" s="255">
        <f t="shared" si="1"/>
        <v>10238.399999999998</v>
      </c>
      <c r="AT17" s="252">
        <v>650.1</v>
      </c>
      <c r="AU17" s="252">
        <v>567.3</v>
      </c>
      <c r="AV17" s="252">
        <v>698</v>
      </c>
      <c r="AW17" s="252">
        <v>662.1</v>
      </c>
      <c r="AX17" s="252">
        <v>1316.4</v>
      </c>
      <c r="AY17" s="252">
        <v>1324.6</v>
      </c>
      <c r="AZ17" s="252">
        <v>1135.7</v>
      </c>
      <c r="BA17" s="252">
        <v>681</v>
      </c>
      <c r="BB17" s="252">
        <v>329.4</v>
      </c>
      <c r="BC17" s="252">
        <v>692.4</v>
      </c>
      <c r="BD17" s="252">
        <v>928.8</v>
      </c>
      <c r="BE17" s="252">
        <v>938.7</v>
      </c>
      <c r="BF17" s="253">
        <f t="shared" si="0"/>
        <v>9924.5</v>
      </c>
      <c r="BG17" s="252">
        <v>583.4</v>
      </c>
      <c r="BH17" s="252">
        <v>798.7</v>
      </c>
      <c r="BI17" s="252">
        <v>1137.6</v>
      </c>
      <c r="BJ17" s="252">
        <v>1927</v>
      </c>
      <c r="BK17" s="252">
        <v>2071.6</v>
      </c>
      <c r="BL17" s="252">
        <v>1290</v>
      </c>
      <c r="BM17" s="252">
        <v>2350</v>
      </c>
      <c r="BN17" s="252">
        <v>1254.7</v>
      </c>
      <c r="BO17" s="252">
        <v>1735.7</v>
      </c>
      <c r="BP17" s="252">
        <v>617</v>
      </c>
      <c r="BQ17" s="252">
        <v>779.3</v>
      </c>
      <c r="BR17" s="252">
        <v>986.1</v>
      </c>
      <c r="BS17" s="252">
        <f t="shared" si="2"/>
        <v>15531.1</v>
      </c>
      <c r="BT17" s="249">
        <f t="shared" si="11"/>
        <v>15531.1</v>
      </c>
      <c r="BU17" s="252">
        <v>785.65</v>
      </c>
      <c r="BV17" s="259">
        <v>1108.14</v>
      </c>
      <c r="BW17" s="259">
        <v>1883.6939999999997</v>
      </c>
      <c r="BX17" s="259">
        <v>993.2660000000005</v>
      </c>
      <c r="BY17" s="259">
        <v>2187.32</v>
      </c>
      <c r="BZ17" s="259">
        <v>1958.86</v>
      </c>
      <c r="CA17" s="259">
        <v>2038.16</v>
      </c>
      <c r="CB17" s="259">
        <v>2147.35</v>
      </c>
      <c r="CC17" s="259">
        <v>1962.2</v>
      </c>
      <c r="CD17" s="259">
        <v>1365.2</v>
      </c>
      <c r="CE17" s="259">
        <v>865.3</v>
      </c>
      <c r="CF17" s="252">
        <v>1650.5</v>
      </c>
      <c r="CG17" s="250">
        <f t="shared" si="3"/>
        <v>18945.64</v>
      </c>
      <c r="CH17" s="259">
        <v>1117.564695</v>
      </c>
      <c r="CI17" s="252">
        <v>2314.607149</v>
      </c>
      <c r="CJ17" s="252">
        <v>2800.090757</v>
      </c>
      <c r="CK17" s="252">
        <v>1379.435887</v>
      </c>
      <c r="CL17" s="252">
        <v>2362.558894</v>
      </c>
      <c r="CM17" s="252">
        <v>2414.054466</v>
      </c>
      <c r="CN17" s="252">
        <v>2367.006251</v>
      </c>
      <c r="CO17" s="252">
        <v>2315.743696</v>
      </c>
      <c r="CP17" s="252">
        <v>1739.529241</v>
      </c>
      <c r="CQ17" s="261">
        <v>1157.7347750000001</v>
      </c>
      <c r="CR17" s="261">
        <v>939.6869509999999</v>
      </c>
      <c r="CS17" s="261">
        <v>1011.617755</v>
      </c>
      <c r="CT17" s="252">
        <f t="shared" si="12"/>
        <v>21919.630517</v>
      </c>
      <c r="CU17" s="252">
        <v>1712.27054</v>
      </c>
      <c r="CV17" s="262">
        <v>2028.531946</v>
      </c>
      <c r="CW17" s="262">
        <v>2595.905601</v>
      </c>
      <c r="CX17" s="262">
        <v>1698.279491</v>
      </c>
      <c r="CY17" s="262">
        <v>3609.173355</v>
      </c>
      <c r="CZ17" s="250">
        <v>3204.014885</v>
      </c>
      <c r="DA17" s="252">
        <v>2783.468022</v>
      </c>
      <c r="DB17" s="252">
        <v>2739.384687</v>
      </c>
      <c r="DC17" s="252">
        <v>1611.782063</v>
      </c>
      <c r="DD17" s="252">
        <v>1527.488081</v>
      </c>
      <c r="DE17" s="252">
        <v>1876.05142</v>
      </c>
      <c r="DF17" s="252">
        <v>1452.616629</v>
      </c>
      <c r="DG17" s="253">
        <f t="shared" si="14"/>
        <v>26838.96672</v>
      </c>
      <c r="DH17" s="252">
        <v>3435.077811</v>
      </c>
      <c r="DI17" s="252">
        <v>1955.95004</v>
      </c>
      <c r="DJ17" s="252">
        <v>3475.968</v>
      </c>
      <c r="DK17" s="252">
        <f>2829.1+243.85</f>
        <v>3072.95</v>
      </c>
      <c r="DL17" s="254">
        <v>2908.05864</v>
      </c>
      <c r="DM17" s="254">
        <v>3770.5</v>
      </c>
      <c r="DN17" s="252">
        <v>3639.9</v>
      </c>
      <c r="DO17" s="261">
        <v>3185.601453</v>
      </c>
      <c r="DP17" s="252">
        <v>2965.943583</v>
      </c>
      <c r="DQ17" s="252">
        <v>3198.96</v>
      </c>
      <c r="DR17" s="261">
        <v>2668.5</v>
      </c>
      <c r="DS17" s="261">
        <v>2365.964461</v>
      </c>
      <c r="DT17" s="252">
        <f t="shared" si="4"/>
        <v>36643.373988</v>
      </c>
      <c r="DU17" s="252">
        <v>3864.331223</v>
      </c>
      <c r="DV17" s="252">
        <v>3567.5611339999996</v>
      </c>
      <c r="DW17" s="252">
        <v>3384.327531</v>
      </c>
      <c r="DX17" s="252">
        <v>3642.623425</v>
      </c>
      <c r="DY17" s="252">
        <v>3840.407312693</v>
      </c>
      <c r="DZ17" s="252">
        <v>3764.2533413935</v>
      </c>
      <c r="EA17" s="252">
        <v>4292.916576829</v>
      </c>
      <c r="EB17" s="252">
        <v>3287.6325441034996</v>
      </c>
      <c r="EC17" s="252">
        <v>2136.1442886845</v>
      </c>
      <c r="ED17" s="261">
        <v>1498.835642776</v>
      </c>
      <c r="EE17" s="261">
        <v>1386.978935778</v>
      </c>
      <c r="EF17" s="261">
        <v>2686.221198541</v>
      </c>
      <c r="EG17" s="251">
        <f t="shared" si="5"/>
        <v>37352.23315379851</v>
      </c>
      <c r="EH17" s="259">
        <v>3259.965391768</v>
      </c>
      <c r="EI17" s="252">
        <v>2881.167978777001</v>
      </c>
      <c r="EJ17" s="253">
        <v>3544.355324133</v>
      </c>
      <c r="EK17" s="253">
        <v>3098.302297877458</v>
      </c>
      <c r="EL17" s="257">
        <v>3595.94902895</v>
      </c>
      <c r="EM17" s="257">
        <v>3549.508167729515</v>
      </c>
      <c r="EN17" s="257">
        <v>4346.00040488</v>
      </c>
      <c r="EO17" s="254">
        <v>2524.534121600001</v>
      </c>
      <c r="EP17" s="257">
        <v>2623.6991665799997</v>
      </c>
      <c r="EQ17" s="257">
        <v>2021.452205</v>
      </c>
      <c r="ER17" s="257">
        <v>2713.0276939999994</v>
      </c>
      <c r="ES17" s="257">
        <v>3355.4363040000003</v>
      </c>
      <c r="ET17" s="250">
        <f t="shared" si="6"/>
        <v>37352.23315379851</v>
      </c>
      <c r="EU17" s="250">
        <f t="shared" si="7"/>
        <v>37513.398085294975</v>
      </c>
      <c r="EV17" s="252">
        <v>3110.407883</v>
      </c>
      <c r="EW17" s="252">
        <v>3784.992767</v>
      </c>
      <c r="EX17" s="252">
        <v>6516.093411</v>
      </c>
      <c r="EY17" s="250">
        <v>3292.72251</v>
      </c>
      <c r="EZ17" s="250">
        <v>4381.295938</v>
      </c>
      <c r="FA17" s="250">
        <v>8368.174673</v>
      </c>
      <c r="FB17" s="250">
        <v>5306.461920139829</v>
      </c>
      <c r="FC17" s="250">
        <v>4303.14001</v>
      </c>
      <c r="FD17" s="252">
        <v>5804.445582860171</v>
      </c>
      <c r="FE17" s="250">
        <v>2568.594717998135</v>
      </c>
      <c r="FF17" s="250">
        <v>2493.464245</v>
      </c>
      <c r="FG17" s="261">
        <v>3701.1129580657553</v>
      </c>
      <c r="FH17" s="252">
        <v>3432.7985878078002</v>
      </c>
      <c r="FI17" s="252">
        <v>4922.702082</v>
      </c>
      <c r="FJ17" s="252">
        <v>3366.414991</v>
      </c>
      <c r="FK17" s="252">
        <v>3611.399728</v>
      </c>
      <c r="FL17" s="252">
        <v>3980.347286</v>
      </c>
      <c r="FM17" s="252">
        <v>3554.236978</v>
      </c>
      <c r="FN17" s="252">
        <v>4401.942062</v>
      </c>
      <c r="FO17" s="252">
        <v>3387.311372</v>
      </c>
      <c r="FP17" s="252">
        <v>2488.795604</v>
      </c>
      <c r="FQ17" s="252">
        <v>1287.648366</v>
      </c>
      <c r="FR17" s="252">
        <v>1580.145102</v>
      </c>
      <c r="FS17" s="252">
        <v>2236.5</v>
      </c>
      <c r="FT17" s="252">
        <v>4316.210814</v>
      </c>
      <c r="FU17" s="252">
        <v>3806.157786</v>
      </c>
      <c r="FV17" s="252">
        <v>4066.221272</v>
      </c>
      <c r="FW17" s="252">
        <v>4235.847692</v>
      </c>
      <c r="FX17" s="252">
        <v>5448.621167</v>
      </c>
      <c r="FY17" s="252">
        <v>4147.054266</v>
      </c>
      <c r="FZ17" s="252">
        <v>5900.900007</v>
      </c>
      <c r="GA17" s="252">
        <v>4463.354085000001</v>
      </c>
      <c r="GB17" s="252">
        <v>3115.827895</v>
      </c>
      <c r="GC17" s="252">
        <v>3253.81552</v>
      </c>
      <c r="GD17" s="252">
        <v>3253.81552</v>
      </c>
      <c r="GE17" s="252">
        <v>4061.116216</v>
      </c>
      <c r="GF17" s="252">
        <v>4605.000026</v>
      </c>
      <c r="GG17" s="252">
        <v>4854.341358</v>
      </c>
      <c r="GH17" s="252">
        <v>4412.98448</v>
      </c>
      <c r="GI17" s="252">
        <v>4192.726647</v>
      </c>
      <c r="GJ17" s="252"/>
      <c r="GK17" s="252"/>
      <c r="GL17" s="252"/>
      <c r="GM17" s="252"/>
      <c r="GN17" s="252"/>
      <c r="GO17" s="252"/>
      <c r="GP17" s="252"/>
      <c r="GQ17" s="252"/>
      <c r="GR17" s="250">
        <f t="shared" si="8"/>
        <v>16424.437564</v>
      </c>
      <c r="GS17" s="250">
        <f t="shared" si="9"/>
        <v>18065.052510999998</v>
      </c>
    </row>
    <row r="18" spans="1:201" ht="15.75">
      <c r="A18" s="31" t="s">
        <v>25</v>
      </c>
      <c r="B18" s="75" t="s">
        <v>26</v>
      </c>
      <c r="C18" s="62">
        <v>0.2</v>
      </c>
      <c r="D18" s="44"/>
      <c r="E18" s="63">
        <v>1.2</v>
      </c>
      <c r="F18" s="64">
        <v>0.9</v>
      </c>
      <c r="G18" s="64">
        <v>0.2</v>
      </c>
      <c r="H18" s="64">
        <v>1.7</v>
      </c>
      <c r="I18" s="64">
        <v>1.3</v>
      </c>
      <c r="J18" s="62">
        <v>1.8</v>
      </c>
      <c r="K18" s="64">
        <v>0.8</v>
      </c>
      <c r="L18" s="65" t="s">
        <v>14</v>
      </c>
      <c r="M18" s="66">
        <v>0.1</v>
      </c>
      <c r="N18" s="66" t="s">
        <v>14</v>
      </c>
      <c r="O18" s="68" t="s">
        <v>14</v>
      </c>
      <c r="P18" s="27" t="s">
        <v>14</v>
      </c>
      <c r="Q18" s="27">
        <v>4.7</v>
      </c>
      <c r="R18" s="68" t="s">
        <v>14</v>
      </c>
      <c r="S18" s="69" t="s">
        <v>14</v>
      </c>
      <c r="T18" s="69" t="s">
        <v>14</v>
      </c>
      <c r="U18" s="69" t="s">
        <v>14</v>
      </c>
      <c r="V18" s="68" t="s">
        <v>14</v>
      </c>
      <c r="W18" s="69" t="s">
        <v>14</v>
      </c>
      <c r="X18" s="197">
        <v>0.6</v>
      </c>
      <c r="Y18" s="236" t="s">
        <v>14</v>
      </c>
      <c r="Z18" s="249" t="s">
        <v>14</v>
      </c>
      <c r="AA18" s="249" t="s">
        <v>14</v>
      </c>
      <c r="AB18" s="249">
        <v>0</v>
      </c>
      <c r="AC18" s="249">
        <v>0</v>
      </c>
      <c r="AD18" s="249">
        <v>0</v>
      </c>
      <c r="AE18" s="249">
        <v>0.06</v>
      </c>
      <c r="AF18" s="249">
        <v>0.3</v>
      </c>
      <c r="AG18" s="249" t="s">
        <v>14</v>
      </c>
      <c r="AH18" s="249" t="s">
        <v>14</v>
      </c>
      <c r="AI18" s="249" t="s">
        <v>14</v>
      </c>
      <c r="AJ18" s="249" t="s">
        <v>14</v>
      </c>
      <c r="AK18" s="249" t="s">
        <v>14</v>
      </c>
      <c r="AL18" s="249" t="s">
        <v>14</v>
      </c>
      <c r="AM18" s="249" t="s">
        <v>14</v>
      </c>
      <c r="AN18" s="249" t="s">
        <v>14</v>
      </c>
      <c r="AO18" s="249" t="s">
        <v>14</v>
      </c>
      <c r="AP18" s="249" t="s">
        <v>14</v>
      </c>
      <c r="AQ18" s="249" t="s">
        <v>14</v>
      </c>
      <c r="AR18" s="249" t="s">
        <v>14</v>
      </c>
      <c r="AS18" s="249" t="s">
        <v>14</v>
      </c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49">
        <f t="shared" si="0"/>
        <v>0</v>
      </c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>
        <v>0</v>
      </c>
      <c r="BR18" s="250">
        <v>0</v>
      </c>
      <c r="BS18" s="250">
        <f t="shared" si="2"/>
        <v>0</v>
      </c>
      <c r="BT18" s="249" t="s">
        <v>14</v>
      </c>
      <c r="BU18" s="250">
        <v>0.4</v>
      </c>
      <c r="BV18" s="251">
        <v>0.2</v>
      </c>
      <c r="BW18" s="251"/>
      <c r="BX18" s="251"/>
      <c r="BY18" s="251"/>
      <c r="BZ18" s="251">
        <v>0</v>
      </c>
      <c r="CA18" s="251"/>
      <c r="CB18" s="251"/>
      <c r="CC18" s="251">
        <v>0</v>
      </c>
      <c r="CD18" s="251"/>
      <c r="CE18" s="251">
        <v>0</v>
      </c>
      <c r="CF18" s="251"/>
      <c r="CG18" s="250">
        <f t="shared" si="3"/>
        <v>0.6000000000000001</v>
      </c>
      <c r="CH18" s="250" t="s">
        <v>14</v>
      </c>
      <c r="CI18" s="252"/>
      <c r="CJ18" s="252">
        <v>0</v>
      </c>
      <c r="CK18" s="252"/>
      <c r="CL18" s="252"/>
      <c r="CM18" s="252"/>
      <c r="CN18" s="252">
        <v>0</v>
      </c>
      <c r="CO18" s="252">
        <v>0</v>
      </c>
      <c r="CP18" s="252">
        <v>0</v>
      </c>
      <c r="CQ18" s="252">
        <v>0</v>
      </c>
      <c r="CR18" s="252">
        <v>0</v>
      </c>
      <c r="CS18" s="252">
        <v>0</v>
      </c>
      <c r="CT18" s="250" t="s">
        <v>14</v>
      </c>
      <c r="CU18" s="249" t="s">
        <v>14</v>
      </c>
      <c r="CV18" s="249" t="s">
        <v>14</v>
      </c>
      <c r="CW18" s="249" t="s">
        <v>14</v>
      </c>
      <c r="CX18" s="249" t="s">
        <v>14</v>
      </c>
      <c r="CY18" s="249" t="s">
        <v>14</v>
      </c>
      <c r="CZ18" s="249" t="s">
        <v>14</v>
      </c>
      <c r="DA18" s="249" t="s">
        <v>14</v>
      </c>
      <c r="DB18" s="249" t="s">
        <v>14</v>
      </c>
      <c r="DC18" s="249" t="s">
        <v>14</v>
      </c>
      <c r="DD18" s="249" t="s">
        <v>14</v>
      </c>
      <c r="DE18" s="249" t="s">
        <v>14</v>
      </c>
      <c r="DF18" s="249" t="s">
        <v>14</v>
      </c>
      <c r="DG18" s="253" t="s">
        <v>14</v>
      </c>
      <c r="DH18" s="250" t="s">
        <v>14</v>
      </c>
      <c r="DI18" s="250" t="s">
        <v>14</v>
      </c>
      <c r="DJ18" s="250">
        <v>0</v>
      </c>
      <c r="DK18" s="250">
        <v>0</v>
      </c>
      <c r="DL18" s="250"/>
      <c r="DM18" s="250"/>
      <c r="DN18" s="250">
        <v>0</v>
      </c>
      <c r="DO18" s="250">
        <v>0</v>
      </c>
      <c r="DP18" s="250"/>
      <c r="DQ18" s="250"/>
      <c r="DR18" s="250">
        <v>0</v>
      </c>
      <c r="DS18" s="250">
        <v>0</v>
      </c>
      <c r="DT18" s="252">
        <f t="shared" si="4"/>
        <v>0</v>
      </c>
      <c r="DU18" s="252"/>
      <c r="DV18" s="252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1">
        <f t="shared" si="5"/>
        <v>0</v>
      </c>
      <c r="EH18" s="251"/>
      <c r="EI18" s="250"/>
      <c r="EJ18" s="249"/>
      <c r="EK18" s="249"/>
      <c r="EL18" s="254"/>
      <c r="EM18" s="254"/>
      <c r="EN18" s="254"/>
      <c r="EO18" s="254"/>
      <c r="EP18" s="254"/>
      <c r="EQ18" s="254"/>
      <c r="ER18" s="254"/>
      <c r="ES18" s="254"/>
      <c r="ET18" s="250">
        <f t="shared" si="6"/>
        <v>0</v>
      </c>
      <c r="EU18" s="250">
        <f t="shared" si="7"/>
        <v>0</v>
      </c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61">
        <v>0</v>
      </c>
      <c r="FH18" s="250"/>
      <c r="FI18" s="250"/>
      <c r="FJ18" s="250"/>
      <c r="FK18" s="250">
        <v>0.06</v>
      </c>
      <c r="FL18" s="250"/>
      <c r="FM18" s="250"/>
      <c r="FN18" s="250"/>
      <c r="FO18" s="250"/>
      <c r="FP18" s="250"/>
      <c r="FQ18" s="250"/>
      <c r="FR18" s="250"/>
      <c r="FS18" s="250">
        <v>0</v>
      </c>
      <c r="FT18" s="250"/>
      <c r="FU18" s="250"/>
      <c r="FV18" s="250">
        <v>0.3</v>
      </c>
      <c r="FW18" s="250">
        <v>0</v>
      </c>
      <c r="FX18" s="250"/>
      <c r="FY18" s="250">
        <v>0</v>
      </c>
      <c r="FZ18" s="250"/>
      <c r="GA18" s="250"/>
      <c r="GB18" s="250"/>
      <c r="GC18" s="250"/>
      <c r="GD18" s="250"/>
      <c r="GE18" s="250"/>
      <c r="GF18" s="250"/>
      <c r="GG18" s="250">
        <v>0</v>
      </c>
      <c r="GH18" s="250">
        <v>0</v>
      </c>
      <c r="GI18" s="250">
        <v>0</v>
      </c>
      <c r="GJ18" s="250"/>
      <c r="GK18" s="250"/>
      <c r="GL18" s="250"/>
      <c r="GM18" s="250"/>
      <c r="GN18" s="250"/>
      <c r="GO18" s="250"/>
      <c r="GP18" s="250"/>
      <c r="GQ18" s="250"/>
      <c r="GR18" s="250">
        <f t="shared" si="8"/>
        <v>0.3</v>
      </c>
      <c r="GS18" s="250">
        <f t="shared" si="9"/>
        <v>0</v>
      </c>
    </row>
    <row r="19" spans="1:201" ht="15.75">
      <c r="A19" s="31" t="s">
        <v>27</v>
      </c>
      <c r="B19" s="61" t="s">
        <v>28</v>
      </c>
      <c r="C19" s="62">
        <v>53.5</v>
      </c>
      <c r="D19" s="44"/>
      <c r="E19" s="63">
        <v>54.8</v>
      </c>
      <c r="F19" s="64">
        <v>3.8</v>
      </c>
      <c r="G19" s="64">
        <v>2.9</v>
      </c>
      <c r="H19" s="64" t="s">
        <v>14</v>
      </c>
      <c r="I19" s="64">
        <v>0.6</v>
      </c>
      <c r="J19" s="62">
        <v>1</v>
      </c>
      <c r="K19" s="64">
        <v>1.2</v>
      </c>
      <c r="L19" s="65">
        <v>1.2</v>
      </c>
      <c r="M19" s="66" t="s">
        <v>14</v>
      </c>
      <c r="N19" s="66">
        <v>0.1</v>
      </c>
      <c r="O19" s="68" t="s">
        <v>14</v>
      </c>
      <c r="P19" s="27" t="s">
        <v>14</v>
      </c>
      <c r="Q19" s="28" t="s">
        <v>14</v>
      </c>
      <c r="R19" s="68" t="s">
        <v>14</v>
      </c>
      <c r="S19" s="69" t="s">
        <v>14</v>
      </c>
      <c r="T19" s="69" t="s">
        <v>14</v>
      </c>
      <c r="U19" s="69" t="s">
        <v>14</v>
      </c>
      <c r="V19" s="68">
        <v>502.4</v>
      </c>
      <c r="W19" s="69" t="s">
        <v>14</v>
      </c>
      <c r="X19" s="197">
        <v>65.2</v>
      </c>
      <c r="Y19" s="236" t="s">
        <v>14</v>
      </c>
      <c r="Z19" s="249" t="s">
        <v>14</v>
      </c>
      <c r="AA19" s="249" t="s">
        <v>14</v>
      </c>
      <c r="AB19" s="249">
        <v>0.61</v>
      </c>
      <c r="AC19" s="249">
        <v>1.87912438</v>
      </c>
      <c r="AD19" s="249">
        <v>19.4675</v>
      </c>
      <c r="AE19" s="249">
        <v>0.34</v>
      </c>
      <c r="AF19" s="249">
        <v>0</v>
      </c>
      <c r="AG19" s="249" t="s">
        <v>14</v>
      </c>
      <c r="AH19" s="249" t="s">
        <v>14</v>
      </c>
      <c r="AI19" s="249" t="s">
        <v>14</v>
      </c>
      <c r="AJ19" s="249" t="s">
        <v>14</v>
      </c>
      <c r="AK19" s="249" t="s">
        <v>14</v>
      </c>
      <c r="AL19" s="249" t="s">
        <v>14</v>
      </c>
      <c r="AM19" s="249" t="s">
        <v>14</v>
      </c>
      <c r="AN19" s="249" t="s">
        <v>14</v>
      </c>
      <c r="AO19" s="249" t="s">
        <v>14</v>
      </c>
      <c r="AP19" s="249" t="s">
        <v>14</v>
      </c>
      <c r="AQ19" s="249" t="s">
        <v>14</v>
      </c>
      <c r="AR19" s="249" t="s">
        <v>14</v>
      </c>
      <c r="AS19" s="249" t="s">
        <v>14</v>
      </c>
      <c r="AT19" s="250"/>
      <c r="AU19" s="250"/>
      <c r="AV19" s="250"/>
      <c r="AW19" s="250"/>
      <c r="AX19" s="250"/>
      <c r="AY19" s="250"/>
      <c r="AZ19" s="250"/>
      <c r="BA19" s="250"/>
      <c r="BB19" s="250">
        <v>502.4</v>
      </c>
      <c r="BC19" s="250"/>
      <c r="BD19" s="250"/>
      <c r="BE19" s="250"/>
      <c r="BF19" s="249">
        <f t="shared" si="0"/>
        <v>502.4</v>
      </c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>
        <v>0</v>
      </c>
      <c r="BR19" s="250">
        <v>0</v>
      </c>
      <c r="BS19" s="250">
        <f t="shared" si="2"/>
        <v>0</v>
      </c>
      <c r="BT19" s="249" t="s">
        <v>14</v>
      </c>
      <c r="BU19" s="250"/>
      <c r="BV19" s="250" t="s">
        <v>14</v>
      </c>
      <c r="BW19" s="250"/>
      <c r="BX19" s="250"/>
      <c r="BY19" s="250"/>
      <c r="BZ19" s="250">
        <v>0</v>
      </c>
      <c r="CA19" s="250"/>
      <c r="CB19" s="250"/>
      <c r="CC19" s="250">
        <v>0</v>
      </c>
      <c r="CD19" s="250"/>
      <c r="CE19" s="250">
        <v>65.2</v>
      </c>
      <c r="CF19" s="250"/>
      <c r="CG19" s="250">
        <f t="shared" si="3"/>
        <v>65.2</v>
      </c>
      <c r="CH19" s="250" t="s">
        <v>14</v>
      </c>
      <c r="CI19" s="252"/>
      <c r="CJ19" s="252">
        <v>0</v>
      </c>
      <c r="CK19" s="252"/>
      <c r="CL19" s="252"/>
      <c r="CM19" s="252"/>
      <c r="CN19" s="252">
        <v>0</v>
      </c>
      <c r="CO19" s="252"/>
      <c r="CP19" s="252">
        <v>0</v>
      </c>
      <c r="CQ19" s="252"/>
      <c r="CR19" s="252">
        <v>0</v>
      </c>
      <c r="CS19" s="252">
        <v>0</v>
      </c>
      <c r="CT19" s="250" t="s">
        <v>14</v>
      </c>
      <c r="CU19" s="249" t="s">
        <v>14</v>
      </c>
      <c r="CV19" s="249" t="s">
        <v>14</v>
      </c>
      <c r="CW19" s="249" t="s">
        <v>14</v>
      </c>
      <c r="CX19" s="249" t="s">
        <v>14</v>
      </c>
      <c r="CY19" s="249" t="s">
        <v>14</v>
      </c>
      <c r="CZ19" s="249" t="s">
        <v>14</v>
      </c>
      <c r="DA19" s="249" t="s">
        <v>14</v>
      </c>
      <c r="DB19" s="249" t="s">
        <v>14</v>
      </c>
      <c r="DC19" s="249" t="s">
        <v>14</v>
      </c>
      <c r="DD19" s="249" t="s">
        <v>14</v>
      </c>
      <c r="DE19" s="249" t="s">
        <v>14</v>
      </c>
      <c r="DF19" s="249" t="s">
        <v>14</v>
      </c>
      <c r="DG19" s="253" t="s">
        <v>14</v>
      </c>
      <c r="DH19" s="250" t="s">
        <v>14</v>
      </c>
      <c r="DI19" s="250" t="s">
        <v>14</v>
      </c>
      <c r="DJ19" s="250">
        <v>0</v>
      </c>
      <c r="DK19" s="250">
        <v>0</v>
      </c>
      <c r="DL19" s="250"/>
      <c r="DM19" s="250"/>
      <c r="DN19" s="250">
        <v>0</v>
      </c>
      <c r="DO19" s="250">
        <v>0</v>
      </c>
      <c r="DP19" s="250"/>
      <c r="DQ19" s="250"/>
      <c r="DR19" s="250">
        <v>0</v>
      </c>
      <c r="DS19" s="250">
        <v>0</v>
      </c>
      <c r="DT19" s="252">
        <f t="shared" si="4"/>
        <v>0</v>
      </c>
      <c r="DU19" s="252"/>
      <c r="DV19" s="252"/>
      <c r="DW19" s="250"/>
      <c r="DX19" s="250"/>
      <c r="DY19" s="250"/>
      <c r="DZ19" s="250">
        <v>0.21</v>
      </c>
      <c r="EA19" s="250"/>
      <c r="EB19" s="250">
        <v>0.4</v>
      </c>
      <c r="EC19" s="250"/>
      <c r="ED19" s="250"/>
      <c r="EE19" s="250"/>
      <c r="EF19" s="250"/>
      <c r="EG19" s="251">
        <f t="shared" si="5"/>
        <v>0.61</v>
      </c>
      <c r="EH19" s="251"/>
      <c r="EI19" s="250"/>
      <c r="EJ19" s="249"/>
      <c r="EK19" s="249">
        <v>0.54912438</v>
      </c>
      <c r="EL19" s="254"/>
      <c r="EM19" s="254"/>
      <c r="EN19" s="254"/>
      <c r="EO19" s="254">
        <v>0.6</v>
      </c>
      <c r="EP19" s="254">
        <v>0.53</v>
      </c>
      <c r="EQ19" s="254">
        <v>0.2</v>
      </c>
      <c r="ER19" s="254"/>
      <c r="ES19" s="254"/>
      <c r="ET19" s="250">
        <f t="shared" si="6"/>
        <v>0.61</v>
      </c>
      <c r="EU19" s="250">
        <f t="shared" si="7"/>
        <v>1.87912438</v>
      </c>
      <c r="EV19" s="250">
        <v>14</v>
      </c>
      <c r="EW19" s="250"/>
      <c r="EX19" s="250"/>
      <c r="EY19" s="250"/>
      <c r="EZ19" s="250"/>
      <c r="FA19" s="250"/>
      <c r="FB19" s="250"/>
      <c r="FC19" s="250"/>
      <c r="FD19" s="250">
        <v>5.4675</v>
      </c>
      <c r="FE19" s="250"/>
      <c r="FF19" s="250"/>
      <c r="FG19" s="261">
        <v>0</v>
      </c>
      <c r="FH19" s="250"/>
      <c r="FI19" s="250"/>
      <c r="FJ19" s="250"/>
      <c r="FK19" s="250">
        <v>0.34</v>
      </c>
      <c r="FL19" s="250"/>
      <c r="FM19" s="250"/>
      <c r="FN19" s="250"/>
      <c r="FO19" s="250"/>
      <c r="FP19" s="250"/>
      <c r="FQ19" s="250"/>
      <c r="FR19" s="250"/>
      <c r="FS19" s="250">
        <v>0</v>
      </c>
      <c r="FT19" s="250"/>
      <c r="FU19" s="250"/>
      <c r="FV19" s="250"/>
      <c r="FW19" s="250">
        <v>0</v>
      </c>
      <c r="FX19" s="250"/>
      <c r="FY19" s="250">
        <v>0</v>
      </c>
      <c r="FZ19" s="250"/>
      <c r="GA19" s="250"/>
      <c r="GB19" s="250"/>
      <c r="GC19" s="250"/>
      <c r="GD19" s="250"/>
      <c r="GE19" s="250"/>
      <c r="GF19" s="250"/>
      <c r="GG19" s="250">
        <v>0</v>
      </c>
      <c r="GH19" s="250">
        <v>0</v>
      </c>
      <c r="GI19" s="250">
        <v>0</v>
      </c>
      <c r="GJ19" s="250"/>
      <c r="GK19" s="250"/>
      <c r="GL19" s="250"/>
      <c r="GM19" s="250"/>
      <c r="GN19" s="250"/>
      <c r="GO19" s="250"/>
      <c r="GP19" s="250"/>
      <c r="GQ19" s="250"/>
      <c r="GR19" s="250">
        <f t="shared" si="8"/>
        <v>0</v>
      </c>
      <c r="GS19" s="250">
        <f t="shared" si="9"/>
        <v>0</v>
      </c>
    </row>
    <row r="20" spans="1:201" ht="15.75">
      <c r="A20" s="31" t="s">
        <v>104</v>
      </c>
      <c r="B20" s="61" t="s">
        <v>105</v>
      </c>
      <c r="C20" s="62"/>
      <c r="D20" s="44"/>
      <c r="E20" s="63"/>
      <c r="F20" s="64"/>
      <c r="G20" s="64"/>
      <c r="H20" s="64"/>
      <c r="I20" s="64"/>
      <c r="J20" s="62"/>
      <c r="K20" s="64"/>
      <c r="L20" s="65"/>
      <c r="M20" s="66"/>
      <c r="N20" s="66"/>
      <c r="O20" s="68"/>
      <c r="P20" s="27"/>
      <c r="Q20" s="28"/>
      <c r="R20" s="68"/>
      <c r="S20" s="69"/>
      <c r="T20" s="69"/>
      <c r="U20" s="69"/>
      <c r="V20" s="68"/>
      <c r="W20" s="69"/>
      <c r="X20" s="197"/>
      <c r="Y20" s="237"/>
      <c r="Z20" s="249"/>
      <c r="AA20" s="249"/>
      <c r="AB20" s="249">
        <v>4515.39826718712</v>
      </c>
      <c r="AC20" s="249">
        <v>8196.2004582579</v>
      </c>
      <c r="AD20" s="249">
        <v>10086.860749299998</v>
      </c>
      <c r="AE20" s="249">
        <v>9355.84139</v>
      </c>
      <c r="AF20" s="249">
        <v>14008.851814000001</v>
      </c>
      <c r="AG20" s="249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49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49"/>
      <c r="BU20" s="250"/>
      <c r="BV20" s="250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0"/>
      <c r="CH20" s="250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0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53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2"/>
      <c r="DU20" s="252"/>
      <c r="DV20" s="252"/>
      <c r="DW20" s="250"/>
      <c r="DX20" s="250"/>
      <c r="DY20" s="250"/>
      <c r="DZ20" s="250"/>
      <c r="EA20" s="250"/>
      <c r="EB20" s="254">
        <v>43.96414471</v>
      </c>
      <c r="EC20" s="254">
        <v>298.6693825494999</v>
      </c>
      <c r="ED20" s="254">
        <v>1382.94888044674</v>
      </c>
      <c r="EE20" s="250">
        <v>1663.94240840018</v>
      </c>
      <c r="EF20" s="250">
        <v>1125.8734510806996</v>
      </c>
      <c r="EG20" s="251">
        <f t="shared" si="5"/>
        <v>4515.39826718712</v>
      </c>
      <c r="EH20" s="251">
        <v>666.1780283024</v>
      </c>
      <c r="EI20" s="250">
        <v>681.2578006455003</v>
      </c>
      <c r="EJ20" s="249">
        <v>849.8030378899996</v>
      </c>
      <c r="EK20" s="249">
        <v>846.9628988599999</v>
      </c>
      <c r="EL20" s="254">
        <v>1064.8765119700001</v>
      </c>
      <c r="EM20" s="254">
        <v>728.48402849</v>
      </c>
      <c r="EN20" s="254">
        <v>1045.9245962100001</v>
      </c>
      <c r="EO20" s="254">
        <v>393.95484503999995</v>
      </c>
      <c r="EP20" s="254">
        <v>268.34481185000004</v>
      </c>
      <c r="EQ20" s="254">
        <v>327.717186</v>
      </c>
      <c r="ER20" s="254">
        <v>562.227055</v>
      </c>
      <c r="ES20" s="254">
        <v>760.469658</v>
      </c>
      <c r="ET20" s="250">
        <f t="shared" si="6"/>
        <v>4515.39826718712</v>
      </c>
      <c r="EU20" s="250">
        <f t="shared" si="7"/>
        <v>8196.2004582579</v>
      </c>
      <c r="EV20" s="250">
        <v>956.25235</v>
      </c>
      <c r="EW20" s="250">
        <v>848.328064</v>
      </c>
      <c r="EX20" s="250">
        <v>614.166247</v>
      </c>
      <c r="EY20" s="250">
        <v>496.622273</v>
      </c>
      <c r="EZ20" s="250">
        <v>582.61309</v>
      </c>
      <c r="FA20" s="250">
        <v>987.902927</v>
      </c>
      <c r="FB20" s="250">
        <v>829.913143</v>
      </c>
      <c r="FC20" s="250">
        <v>869.520493</v>
      </c>
      <c r="FD20" s="250">
        <v>777.0780452999999</v>
      </c>
      <c r="FE20" s="250">
        <v>1082.974818</v>
      </c>
      <c r="FF20" s="250">
        <v>875.564405</v>
      </c>
      <c r="FG20" s="261">
        <v>1165.924894</v>
      </c>
      <c r="FH20" s="250">
        <v>1136.908387</v>
      </c>
      <c r="FI20" s="250">
        <v>767.34393</v>
      </c>
      <c r="FJ20" s="250">
        <v>792.43359</v>
      </c>
      <c r="FK20" s="250">
        <v>662.879764</v>
      </c>
      <c r="FL20" s="250">
        <v>774.106754</v>
      </c>
      <c r="FM20" s="250">
        <v>884.354348</v>
      </c>
      <c r="FN20" s="250">
        <v>490.380013</v>
      </c>
      <c r="FO20" s="250">
        <v>778.673281</v>
      </c>
      <c r="FP20" s="250">
        <v>516.43743</v>
      </c>
      <c r="FQ20" s="250">
        <v>524.147958</v>
      </c>
      <c r="FR20" s="250">
        <v>689.206397</v>
      </c>
      <c r="FS20" s="250">
        <v>1338.969538</v>
      </c>
      <c r="FT20" s="250">
        <v>1577.791271</v>
      </c>
      <c r="FU20" s="250">
        <v>943.54056</v>
      </c>
      <c r="FV20" s="250">
        <v>1215.193416</v>
      </c>
      <c r="FW20" s="250">
        <v>1631.39318</v>
      </c>
      <c r="FX20" s="250">
        <v>664.484311</v>
      </c>
      <c r="FY20" s="250">
        <v>924.254982</v>
      </c>
      <c r="FZ20" s="250">
        <v>619.664657</v>
      </c>
      <c r="GA20" s="250">
        <v>562.223605</v>
      </c>
      <c r="GB20" s="250">
        <v>580.893155</v>
      </c>
      <c r="GC20" s="250">
        <v>1906.442831</v>
      </c>
      <c r="GD20" s="250">
        <v>1872.906998</v>
      </c>
      <c r="GE20" s="250">
        <v>1510.062848</v>
      </c>
      <c r="GF20" s="250">
        <v>2122.866997</v>
      </c>
      <c r="GG20" s="250">
        <v>933.111676</v>
      </c>
      <c r="GH20" s="250">
        <v>1394.719749</v>
      </c>
      <c r="GI20" s="250">
        <v>1385.545598</v>
      </c>
      <c r="GJ20" s="250"/>
      <c r="GK20" s="250"/>
      <c r="GL20" s="250"/>
      <c r="GM20" s="250"/>
      <c r="GN20" s="250"/>
      <c r="GO20" s="250"/>
      <c r="GP20" s="250"/>
      <c r="GQ20" s="250"/>
      <c r="GR20" s="250">
        <f t="shared" si="8"/>
        <v>5367.9184270000005</v>
      </c>
      <c r="GS20" s="250">
        <f t="shared" si="9"/>
        <v>5836.24402</v>
      </c>
    </row>
    <row r="21" spans="1:201" ht="15.75">
      <c r="A21" s="31" t="s">
        <v>106</v>
      </c>
      <c r="B21" s="61" t="s">
        <v>107</v>
      </c>
      <c r="C21" s="62"/>
      <c r="D21" s="44"/>
      <c r="E21" s="63"/>
      <c r="F21" s="64"/>
      <c r="G21" s="64"/>
      <c r="H21" s="64"/>
      <c r="I21" s="64"/>
      <c r="J21" s="62"/>
      <c r="K21" s="64"/>
      <c r="L21" s="65"/>
      <c r="M21" s="66"/>
      <c r="N21" s="66"/>
      <c r="O21" s="68"/>
      <c r="P21" s="27"/>
      <c r="Q21" s="28"/>
      <c r="R21" s="68"/>
      <c r="S21" s="69"/>
      <c r="T21" s="69"/>
      <c r="U21" s="69"/>
      <c r="V21" s="68"/>
      <c r="W21" s="69"/>
      <c r="X21" s="197"/>
      <c r="Y21" s="237"/>
      <c r="Z21" s="249"/>
      <c r="AA21" s="249"/>
      <c r="AB21" s="249">
        <v>3.226785773125</v>
      </c>
      <c r="AC21" s="249">
        <v>16.68035</v>
      </c>
      <c r="AD21" s="249">
        <v>19.806041999999998</v>
      </c>
      <c r="AE21" s="249">
        <v>15.724606999999999</v>
      </c>
      <c r="AF21" s="249">
        <v>23.466456</v>
      </c>
      <c r="AG21" s="249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49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49"/>
      <c r="BU21" s="250"/>
      <c r="BV21" s="250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0"/>
      <c r="CH21" s="250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0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53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2"/>
      <c r="DU21" s="252"/>
      <c r="DV21" s="252"/>
      <c r="DW21" s="250"/>
      <c r="DX21" s="250"/>
      <c r="DY21" s="250">
        <v>0.29848745789</v>
      </c>
      <c r="DZ21" s="250">
        <v>0.476298315235</v>
      </c>
      <c r="EA21" s="250">
        <v>0.6</v>
      </c>
      <c r="EB21" s="254">
        <v>0.3</v>
      </c>
      <c r="EC21" s="254"/>
      <c r="ED21" s="254"/>
      <c r="EE21" s="250">
        <v>0.312</v>
      </c>
      <c r="EF21" s="250">
        <v>1.24</v>
      </c>
      <c r="EG21" s="251">
        <f t="shared" si="5"/>
        <v>3.226785773125</v>
      </c>
      <c r="EH21" s="251">
        <v>2.59285</v>
      </c>
      <c r="EI21" s="250">
        <v>1.37</v>
      </c>
      <c r="EJ21" s="249">
        <v>1.45</v>
      </c>
      <c r="EK21" s="249">
        <v>1.0575</v>
      </c>
      <c r="EL21" s="254">
        <v>1.2</v>
      </c>
      <c r="EM21" s="254">
        <v>0.775</v>
      </c>
      <c r="EN21" s="254">
        <v>1.4</v>
      </c>
      <c r="EO21" s="254">
        <v>0.605</v>
      </c>
      <c r="EP21" s="254">
        <v>1.91</v>
      </c>
      <c r="EQ21" s="254">
        <v>1.69</v>
      </c>
      <c r="ER21" s="254">
        <v>0.82</v>
      </c>
      <c r="ES21" s="254">
        <v>1.81</v>
      </c>
      <c r="ET21" s="250">
        <f t="shared" si="6"/>
        <v>3.226785773125</v>
      </c>
      <c r="EU21" s="250">
        <f t="shared" si="7"/>
        <v>16.68035</v>
      </c>
      <c r="EV21" s="250">
        <v>2.394741</v>
      </c>
      <c r="EW21" s="250">
        <v>0.3</v>
      </c>
      <c r="EX21" s="250">
        <v>1.862</v>
      </c>
      <c r="EY21" s="250">
        <v>1.99</v>
      </c>
      <c r="EZ21" s="250"/>
      <c r="FA21" s="250">
        <v>0.43</v>
      </c>
      <c r="FB21" s="250">
        <v>0.58</v>
      </c>
      <c r="FC21" s="250">
        <v>0.88</v>
      </c>
      <c r="FD21" s="250">
        <v>1.0075</v>
      </c>
      <c r="FE21" s="250">
        <v>1.585</v>
      </c>
      <c r="FF21" s="250">
        <v>0.628</v>
      </c>
      <c r="FG21" s="261">
        <v>8.148801</v>
      </c>
      <c r="FH21" s="250">
        <v>1.525</v>
      </c>
      <c r="FI21" s="250">
        <v>1.811756</v>
      </c>
      <c r="FJ21" s="250">
        <v>3.09</v>
      </c>
      <c r="FK21" s="250">
        <v>1.947024</v>
      </c>
      <c r="FL21" s="250">
        <v>2.845</v>
      </c>
      <c r="FM21" s="250">
        <v>1.186</v>
      </c>
      <c r="FN21" s="250">
        <v>0.934</v>
      </c>
      <c r="FO21" s="250"/>
      <c r="FP21" s="250"/>
      <c r="FQ21" s="250">
        <v>1.688108</v>
      </c>
      <c r="FR21" s="250">
        <v>0.2</v>
      </c>
      <c r="FS21" s="250">
        <v>0.497719</v>
      </c>
      <c r="FT21" s="250"/>
      <c r="FU21" s="250"/>
      <c r="FV21" s="250">
        <v>0.105</v>
      </c>
      <c r="FW21" s="250"/>
      <c r="FX21" s="250"/>
      <c r="FY21" s="250">
        <v>0</v>
      </c>
      <c r="FZ21" s="250">
        <v>6.367056</v>
      </c>
      <c r="GA21" s="250">
        <v>0.945</v>
      </c>
      <c r="GB21" s="250"/>
      <c r="GC21" s="250">
        <v>0.105</v>
      </c>
      <c r="GD21" s="250">
        <v>15.6244</v>
      </c>
      <c r="GE21" s="250">
        <v>0.32</v>
      </c>
      <c r="GF21" s="250">
        <v>0.475</v>
      </c>
      <c r="GG21" s="250">
        <v>0.04</v>
      </c>
      <c r="GH21" s="250">
        <v>0</v>
      </c>
      <c r="GI21" s="250">
        <v>0</v>
      </c>
      <c r="GJ21" s="250"/>
      <c r="GK21" s="250"/>
      <c r="GL21" s="250"/>
      <c r="GM21" s="250"/>
      <c r="GN21" s="250"/>
      <c r="GO21" s="250"/>
      <c r="GP21" s="250"/>
      <c r="GQ21" s="250"/>
      <c r="GR21" s="250">
        <f t="shared" si="8"/>
        <v>0.105</v>
      </c>
      <c r="GS21" s="250">
        <f t="shared" si="9"/>
        <v>0.515</v>
      </c>
    </row>
    <row r="22" spans="1:201" ht="15.75">
      <c r="A22" s="31" t="s">
        <v>29</v>
      </c>
      <c r="B22" s="61" t="s">
        <v>30</v>
      </c>
      <c r="C22" s="62">
        <v>16.6</v>
      </c>
      <c r="D22" s="44"/>
      <c r="E22" s="63">
        <v>60.2</v>
      </c>
      <c r="F22" s="64">
        <v>52.4</v>
      </c>
      <c r="G22" s="64">
        <v>64.7</v>
      </c>
      <c r="H22" s="64">
        <v>11.7</v>
      </c>
      <c r="I22" s="64">
        <v>65.9</v>
      </c>
      <c r="J22" s="62">
        <v>54.9</v>
      </c>
      <c r="K22" s="64">
        <v>58.1</v>
      </c>
      <c r="L22" s="65">
        <v>21.6</v>
      </c>
      <c r="M22" s="66">
        <v>38.3</v>
      </c>
      <c r="N22" s="66">
        <v>26</v>
      </c>
      <c r="O22" s="67">
        <v>82.3</v>
      </c>
      <c r="P22" s="27">
        <v>58.5</v>
      </c>
      <c r="Q22" s="27">
        <v>18.8</v>
      </c>
      <c r="R22" s="68">
        <v>78.8</v>
      </c>
      <c r="S22" s="68">
        <v>84.8</v>
      </c>
      <c r="T22" s="69">
        <v>160.4</v>
      </c>
      <c r="U22" s="69">
        <v>119.7</v>
      </c>
      <c r="V22" s="68">
        <v>178.287</v>
      </c>
      <c r="W22" s="68">
        <v>433.346</v>
      </c>
      <c r="X22" s="197">
        <v>352.2</v>
      </c>
      <c r="Y22" s="237">
        <f t="shared" si="13"/>
        <v>114.92544999999998</v>
      </c>
      <c r="Z22" s="249">
        <f t="shared" si="10"/>
        <v>56.059999999999995</v>
      </c>
      <c r="AA22" s="249">
        <v>95.53700399999998</v>
      </c>
      <c r="AB22" s="249">
        <v>0</v>
      </c>
      <c r="AC22" s="249">
        <v>154.406545</v>
      </c>
      <c r="AD22" s="249">
        <v>79.88062099999999</v>
      </c>
      <c r="AE22" s="249">
        <v>331.10884</v>
      </c>
      <c r="AF22" s="249">
        <v>85.030613</v>
      </c>
      <c r="AG22" s="250" t="s">
        <v>14</v>
      </c>
      <c r="AH22" s="263">
        <v>2</v>
      </c>
      <c r="AI22" s="254">
        <v>2</v>
      </c>
      <c r="AJ22" s="254"/>
      <c r="AK22" s="254">
        <v>2.1</v>
      </c>
      <c r="AL22" s="254">
        <v>0</v>
      </c>
      <c r="AM22" s="263"/>
      <c r="AN22" s="263">
        <v>67.8</v>
      </c>
      <c r="AO22" s="263">
        <v>21.6</v>
      </c>
      <c r="AP22" s="263">
        <v>2.1</v>
      </c>
      <c r="AQ22" s="263"/>
      <c r="AR22" s="263">
        <v>22.1</v>
      </c>
      <c r="AS22" s="255">
        <f t="shared" si="1"/>
        <v>119.69999999999999</v>
      </c>
      <c r="AT22" s="250"/>
      <c r="AU22" s="250">
        <v>1.7</v>
      </c>
      <c r="AV22" s="250">
        <v>23</v>
      </c>
      <c r="AW22" s="250"/>
      <c r="AX22" s="250"/>
      <c r="AY22" s="250"/>
      <c r="AZ22" s="250">
        <v>70.9</v>
      </c>
      <c r="BA22" s="250">
        <v>1.4</v>
      </c>
      <c r="BB22" s="250">
        <v>17.4</v>
      </c>
      <c r="BC22" s="250">
        <v>27.6</v>
      </c>
      <c r="BD22" s="250"/>
      <c r="BE22" s="250">
        <v>36.287</v>
      </c>
      <c r="BF22" s="249">
        <f t="shared" si="0"/>
        <v>178.287</v>
      </c>
      <c r="BG22" s="250">
        <v>30.394</v>
      </c>
      <c r="BH22" s="250">
        <v>49.431</v>
      </c>
      <c r="BI22" s="250">
        <v>0</v>
      </c>
      <c r="BJ22" s="250">
        <v>62.268</v>
      </c>
      <c r="BK22" s="250"/>
      <c r="BL22" s="250">
        <f>76.712-0.096</f>
        <v>76.616</v>
      </c>
      <c r="BM22" s="250"/>
      <c r="BN22" s="250">
        <v>62.86</v>
      </c>
      <c r="BO22" s="250">
        <v>51.9</v>
      </c>
      <c r="BP22" s="250">
        <v>0</v>
      </c>
      <c r="BQ22" s="250">
        <v>0</v>
      </c>
      <c r="BR22" s="250">
        <v>99.877</v>
      </c>
      <c r="BS22" s="250">
        <f t="shared" si="2"/>
        <v>433.346</v>
      </c>
      <c r="BT22" s="249">
        <f t="shared" si="11"/>
        <v>433.346</v>
      </c>
      <c r="BU22" s="250">
        <v>3.7</v>
      </c>
      <c r="BV22" s="250" t="s">
        <v>14</v>
      </c>
      <c r="BW22" s="251"/>
      <c r="BX22" s="251"/>
      <c r="BY22" s="251"/>
      <c r="BZ22" s="251">
        <v>0</v>
      </c>
      <c r="CA22" s="251">
        <v>103.4</v>
      </c>
      <c r="CB22" s="251"/>
      <c r="CC22" s="251">
        <v>103.4</v>
      </c>
      <c r="CD22" s="251">
        <v>59.5</v>
      </c>
      <c r="CE22" s="251">
        <v>64</v>
      </c>
      <c r="CF22" s="251">
        <v>18.2</v>
      </c>
      <c r="CG22" s="250">
        <f t="shared" si="3"/>
        <v>352.2</v>
      </c>
      <c r="CH22" s="250" t="s">
        <v>14</v>
      </c>
      <c r="CI22" s="252"/>
      <c r="CJ22" s="252">
        <v>0</v>
      </c>
      <c r="CK22" s="252"/>
      <c r="CL22" s="252">
        <v>73.81</v>
      </c>
      <c r="CM22" s="252">
        <v>0.3</v>
      </c>
      <c r="CN22" s="252">
        <v>0</v>
      </c>
      <c r="CO22" s="252"/>
      <c r="CP22" s="252">
        <v>0.61545</v>
      </c>
      <c r="CQ22" s="252">
        <v>0</v>
      </c>
      <c r="CR22" s="252">
        <v>0.6</v>
      </c>
      <c r="CS22" s="252">
        <v>39.6</v>
      </c>
      <c r="CT22" s="252">
        <f t="shared" si="12"/>
        <v>114.92544999999998</v>
      </c>
      <c r="CU22" s="252">
        <v>42.4</v>
      </c>
      <c r="CV22" s="250">
        <v>0</v>
      </c>
      <c r="CW22" s="250">
        <v>0</v>
      </c>
      <c r="CX22" s="250">
        <v>0.9</v>
      </c>
      <c r="CY22" s="250">
        <v>12.6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f>+'[1]exports_rubriques'!$G$21</f>
        <v>0.16</v>
      </c>
      <c r="DF22" s="250">
        <v>0</v>
      </c>
      <c r="DG22" s="253">
        <f t="shared" si="14"/>
        <v>56.059999999999995</v>
      </c>
      <c r="DH22" s="250" t="s">
        <v>14</v>
      </c>
      <c r="DI22" s="252">
        <v>94.837004</v>
      </c>
      <c r="DJ22" s="250"/>
      <c r="DK22" s="250">
        <v>0</v>
      </c>
      <c r="DL22" s="250">
        <v>0.1</v>
      </c>
      <c r="DM22" s="250">
        <v>0.6</v>
      </c>
      <c r="DN22" s="250">
        <v>0</v>
      </c>
      <c r="DO22" s="250">
        <v>0</v>
      </c>
      <c r="DP22" s="250"/>
      <c r="DQ22" s="250"/>
      <c r="DR22" s="250">
        <v>0</v>
      </c>
      <c r="DS22" s="250">
        <v>0</v>
      </c>
      <c r="DT22" s="252">
        <f t="shared" si="4"/>
        <v>95.53700399999998</v>
      </c>
      <c r="DU22" s="252"/>
      <c r="DV22" s="252"/>
      <c r="DW22" s="250"/>
      <c r="DX22" s="250"/>
      <c r="DY22" s="250"/>
      <c r="DZ22" s="250"/>
      <c r="EA22" s="250"/>
      <c r="EB22" s="254"/>
      <c r="EC22" s="254"/>
      <c r="ED22" s="254"/>
      <c r="EE22" s="250"/>
      <c r="EF22" s="250"/>
      <c r="EG22" s="251">
        <f t="shared" si="5"/>
        <v>0</v>
      </c>
      <c r="EH22" s="251"/>
      <c r="EI22" s="250"/>
      <c r="EJ22" s="249"/>
      <c r="EK22" s="249"/>
      <c r="EL22" s="254"/>
      <c r="EM22" s="254"/>
      <c r="EN22" s="254"/>
      <c r="EO22" s="254"/>
      <c r="EP22" s="254">
        <v>0.1746</v>
      </c>
      <c r="EQ22" s="254">
        <v>77.103528</v>
      </c>
      <c r="ER22" s="254">
        <v>77.128417</v>
      </c>
      <c r="ES22" s="254"/>
      <c r="ET22" s="250">
        <f t="shared" si="6"/>
        <v>0</v>
      </c>
      <c r="EU22" s="250">
        <f t="shared" si="7"/>
        <v>154.406545</v>
      </c>
      <c r="EV22" s="250">
        <v>0.112</v>
      </c>
      <c r="EW22" s="250"/>
      <c r="EX22" s="250"/>
      <c r="EY22" s="250"/>
      <c r="EZ22" s="250"/>
      <c r="FA22" s="250"/>
      <c r="FB22" s="250"/>
      <c r="FC22" s="250"/>
      <c r="FD22" s="250"/>
      <c r="FE22" s="250"/>
      <c r="FF22" s="250">
        <v>79.768621</v>
      </c>
      <c r="FG22" s="261">
        <v>0</v>
      </c>
      <c r="FH22" s="250"/>
      <c r="FI22" s="250"/>
      <c r="FJ22" s="250">
        <v>164.38262</v>
      </c>
      <c r="FK22" s="250"/>
      <c r="FL22" s="250"/>
      <c r="FM22" s="250"/>
      <c r="FN22" s="250">
        <v>166.72622</v>
      </c>
      <c r="FO22" s="250"/>
      <c r="FP22" s="250"/>
      <c r="FQ22" s="250"/>
      <c r="FR22" s="250"/>
      <c r="FS22" s="250">
        <v>0</v>
      </c>
      <c r="FT22" s="250"/>
      <c r="FU22" s="250"/>
      <c r="FV22" s="250">
        <v>85.030613</v>
      </c>
      <c r="FW22" s="250">
        <v>0</v>
      </c>
      <c r="FX22" s="250"/>
      <c r="FY22" s="250">
        <v>0</v>
      </c>
      <c r="FZ22" s="250"/>
      <c r="GA22" s="250"/>
      <c r="GB22" s="250"/>
      <c r="GC22" s="250"/>
      <c r="GD22" s="250"/>
      <c r="GE22" s="250"/>
      <c r="GF22" s="250"/>
      <c r="GG22" s="250">
        <v>0</v>
      </c>
      <c r="GH22" s="250">
        <v>0</v>
      </c>
      <c r="GI22" s="250">
        <v>0</v>
      </c>
      <c r="GJ22" s="250"/>
      <c r="GK22" s="250"/>
      <c r="GL22" s="250"/>
      <c r="GM22" s="250"/>
      <c r="GN22" s="250"/>
      <c r="GO22" s="250"/>
      <c r="GP22" s="250"/>
      <c r="GQ22" s="250"/>
      <c r="GR22" s="250">
        <f t="shared" si="8"/>
        <v>85.030613</v>
      </c>
      <c r="GS22" s="250">
        <f t="shared" si="9"/>
        <v>0</v>
      </c>
    </row>
    <row r="23" spans="1:201" ht="15.75">
      <c r="A23" s="31" t="s">
        <v>91</v>
      </c>
      <c r="B23" s="61" t="s">
        <v>31</v>
      </c>
      <c r="C23" s="62">
        <v>0.1</v>
      </c>
      <c r="D23" s="44"/>
      <c r="E23" s="63">
        <v>38.5</v>
      </c>
      <c r="F23" s="64">
        <v>0.3</v>
      </c>
      <c r="G23" s="64">
        <v>4.5</v>
      </c>
      <c r="H23" s="64">
        <v>4</v>
      </c>
      <c r="I23" s="64">
        <v>4.1</v>
      </c>
      <c r="J23" s="62">
        <v>125.9</v>
      </c>
      <c r="K23" s="64">
        <v>87.2</v>
      </c>
      <c r="L23" s="65">
        <v>19.5</v>
      </c>
      <c r="M23" s="66">
        <v>10.7</v>
      </c>
      <c r="N23" s="66">
        <v>17.4</v>
      </c>
      <c r="O23" s="67">
        <v>5.5</v>
      </c>
      <c r="P23" s="27">
        <v>0.8</v>
      </c>
      <c r="Q23" s="27">
        <v>26</v>
      </c>
      <c r="R23" s="68">
        <v>16.5</v>
      </c>
      <c r="S23" s="68">
        <v>330.4</v>
      </c>
      <c r="T23" s="69">
        <v>0.1</v>
      </c>
      <c r="U23" s="69">
        <v>17.934</v>
      </c>
      <c r="V23" s="68">
        <v>25.326</v>
      </c>
      <c r="W23" s="68">
        <v>23.673000000000002</v>
      </c>
      <c r="X23" s="197" t="s">
        <v>14</v>
      </c>
      <c r="Y23" s="237">
        <f t="shared" si="13"/>
        <v>118.42487499999999</v>
      </c>
      <c r="Z23" s="249">
        <f t="shared" si="10"/>
        <v>68.832473</v>
      </c>
      <c r="AA23" s="249">
        <v>101.89894799999999</v>
      </c>
      <c r="AB23" s="249">
        <v>461.42912471750003</v>
      </c>
      <c r="AC23" s="249">
        <v>8.079372209999999</v>
      </c>
      <c r="AD23" s="249">
        <v>9.05144</v>
      </c>
      <c r="AE23" s="249">
        <v>192.83534113000002</v>
      </c>
      <c r="AF23" s="249">
        <v>394.65525099999996</v>
      </c>
      <c r="AG23" s="250" t="s">
        <v>14</v>
      </c>
      <c r="AH23" s="263"/>
      <c r="AI23" s="254"/>
      <c r="AJ23" s="254"/>
      <c r="AK23" s="254"/>
      <c r="AL23" s="263">
        <v>0</v>
      </c>
      <c r="AM23" s="263"/>
      <c r="AN23" s="263">
        <v>17.1</v>
      </c>
      <c r="AO23" s="254"/>
      <c r="AP23" s="263">
        <v>0</v>
      </c>
      <c r="AQ23" s="263">
        <v>0.634</v>
      </c>
      <c r="AR23" s="254">
        <v>0.2</v>
      </c>
      <c r="AS23" s="255">
        <f t="shared" si="1"/>
        <v>17.934</v>
      </c>
      <c r="AT23" s="250"/>
      <c r="AU23" s="250">
        <v>10</v>
      </c>
      <c r="AV23" s="250"/>
      <c r="AW23" s="250"/>
      <c r="AX23" s="250"/>
      <c r="AY23" s="250"/>
      <c r="AZ23" s="250"/>
      <c r="BA23" s="250"/>
      <c r="BB23" s="250"/>
      <c r="BC23" s="250">
        <v>1.8</v>
      </c>
      <c r="BD23" s="250">
        <v>3.6</v>
      </c>
      <c r="BE23" s="250">
        <v>9.926</v>
      </c>
      <c r="BF23" s="249">
        <f t="shared" si="0"/>
        <v>25.326</v>
      </c>
      <c r="BG23" s="250">
        <v>9.8</v>
      </c>
      <c r="BH23" s="250">
        <v>1.671</v>
      </c>
      <c r="BI23" s="250">
        <v>3.454</v>
      </c>
      <c r="BJ23" s="250">
        <v>2.478</v>
      </c>
      <c r="BK23" s="250">
        <v>2.354</v>
      </c>
      <c r="BL23" s="250">
        <v>0.096</v>
      </c>
      <c r="BM23" s="250"/>
      <c r="BN23" s="250"/>
      <c r="BO23" s="250">
        <v>0.02</v>
      </c>
      <c r="BP23" s="250">
        <v>0</v>
      </c>
      <c r="BQ23" s="250">
        <v>0</v>
      </c>
      <c r="BR23" s="250">
        <v>3.8</v>
      </c>
      <c r="BS23" s="250">
        <f t="shared" si="2"/>
        <v>23.673000000000002</v>
      </c>
      <c r="BT23" s="249">
        <f t="shared" si="11"/>
        <v>23.673000000000002</v>
      </c>
      <c r="BU23" s="250" t="s">
        <v>14</v>
      </c>
      <c r="BV23" s="250" t="s">
        <v>14</v>
      </c>
      <c r="BW23" s="250"/>
      <c r="BX23" s="250"/>
      <c r="BY23" s="250"/>
      <c r="BZ23" s="250">
        <v>0</v>
      </c>
      <c r="CA23" s="250"/>
      <c r="CB23" s="250"/>
      <c r="CC23" s="250">
        <v>0</v>
      </c>
      <c r="CD23" s="250">
        <v>0</v>
      </c>
      <c r="CE23" s="250">
        <v>0</v>
      </c>
      <c r="CF23" s="250"/>
      <c r="CG23" s="252" t="s">
        <v>14</v>
      </c>
      <c r="CH23" s="251">
        <v>1</v>
      </c>
      <c r="CI23" s="252">
        <v>2.1</v>
      </c>
      <c r="CJ23" s="252">
        <v>0</v>
      </c>
      <c r="CK23" s="252"/>
      <c r="CL23" s="252">
        <v>0</v>
      </c>
      <c r="CM23" s="252">
        <v>0</v>
      </c>
      <c r="CN23" s="252">
        <v>0</v>
      </c>
      <c r="CO23" s="252"/>
      <c r="CP23" s="252">
        <v>0</v>
      </c>
      <c r="CQ23" s="252">
        <v>112.174875</v>
      </c>
      <c r="CR23" s="252">
        <v>1.1</v>
      </c>
      <c r="CS23" s="252">
        <v>2.05</v>
      </c>
      <c r="CT23" s="252">
        <f t="shared" si="12"/>
        <v>118.42487499999999</v>
      </c>
      <c r="CU23" s="249" t="s">
        <v>14</v>
      </c>
      <c r="CV23" s="250">
        <v>0</v>
      </c>
      <c r="CW23" s="250">
        <v>0</v>
      </c>
      <c r="CX23" s="250">
        <v>50.6</v>
      </c>
      <c r="CY23" s="250">
        <v>0</v>
      </c>
      <c r="CZ23" s="250">
        <v>0</v>
      </c>
      <c r="DA23" s="250">
        <v>0</v>
      </c>
      <c r="DB23" s="250">
        <v>0</v>
      </c>
      <c r="DC23" s="250">
        <v>0</v>
      </c>
      <c r="DD23" s="250">
        <v>0</v>
      </c>
      <c r="DE23" s="250">
        <f>+'[1]exports_rubriques'!$G$22</f>
        <v>7.732473</v>
      </c>
      <c r="DF23" s="250">
        <v>10.5</v>
      </c>
      <c r="DG23" s="253">
        <f t="shared" si="14"/>
        <v>68.832473</v>
      </c>
      <c r="DH23" s="252">
        <v>5.49606</v>
      </c>
      <c r="DI23" s="252">
        <v>3.977508</v>
      </c>
      <c r="DJ23" s="252">
        <v>0</v>
      </c>
      <c r="DK23" s="252">
        <v>8.1</v>
      </c>
      <c r="DL23" s="252"/>
      <c r="DM23" s="252"/>
      <c r="DN23" s="252">
        <v>0</v>
      </c>
      <c r="DO23" s="252">
        <v>0</v>
      </c>
      <c r="DP23" s="252"/>
      <c r="DQ23" s="252"/>
      <c r="DR23" s="252">
        <f>+'[2]EX1'!$E$32</f>
        <v>84.32538</v>
      </c>
      <c r="DS23" s="252">
        <v>0</v>
      </c>
      <c r="DT23" s="252">
        <f t="shared" si="4"/>
        <v>101.89894799999999</v>
      </c>
      <c r="DU23" s="252"/>
      <c r="DV23" s="252">
        <v>11.79204</v>
      </c>
      <c r="DW23" s="250"/>
      <c r="DX23" s="250">
        <v>52.918441</v>
      </c>
      <c r="DY23" s="250">
        <v>58.15401796</v>
      </c>
      <c r="DZ23" s="250">
        <v>52.23734544</v>
      </c>
      <c r="EA23" s="250">
        <v>53.24559814</v>
      </c>
      <c r="EB23" s="250">
        <v>53.29790907</v>
      </c>
      <c r="EC23" s="250"/>
      <c r="ED23" s="250"/>
      <c r="EE23" s="250">
        <v>53.6482970075</v>
      </c>
      <c r="EF23" s="250">
        <v>126.13547609999999</v>
      </c>
      <c r="EG23" s="251">
        <f t="shared" si="5"/>
        <v>461.42912471750003</v>
      </c>
      <c r="EH23" s="251"/>
      <c r="EI23" s="250"/>
      <c r="EJ23" s="249">
        <v>1.11264</v>
      </c>
      <c r="EK23" s="249">
        <v>0.30817220999999995</v>
      </c>
      <c r="EL23" s="254">
        <v>3.35616</v>
      </c>
      <c r="EM23" s="254">
        <v>0.6384</v>
      </c>
      <c r="EN23" s="254">
        <v>0.01</v>
      </c>
      <c r="EO23" s="254">
        <v>1.824</v>
      </c>
      <c r="EP23" s="254">
        <v>0.81</v>
      </c>
      <c r="EQ23" s="254">
        <v>0.01</v>
      </c>
      <c r="ER23" s="254">
        <v>0.01</v>
      </c>
      <c r="ES23" s="254"/>
      <c r="ET23" s="250">
        <f t="shared" si="6"/>
        <v>461.42912471750003</v>
      </c>
      <c r="EU23" s="250">
        <f t="shared" si="7"/>
        <v>8.079372209999999</v>
      </c>
      <c r="EV23" s="250"/>
      <c r="EW23" s="250"/>
      <c r="EX23" s="250">
        <v>0.675</v>
      </c>
      <c r="EY23" s="250"/>
      <c r="EZ23" s="250">
        <v>1.0944</v>
      </c>
      <c r="FA23" s="250">
        <v>1.3594</v>
      </c>
      <c r="FB23" s="250">
        <v>2.0178</v>
      </c>
      <c r="FC23" s="250"/>
      <c r="FD23" s="250">
        <v>2.04288</v>
      </c>
      <c r="FE23" s="250">
        <v>0.96672</v>
      </c>
      <c r="FF23" s="250">
        <v>0.88524</v>
      </c>
      <c r="FG23" s="261">
        <v>0.01</v>
      </c>
      <c r="FH23" s="250">
        <v>2.0694</v>
      </c>
      <c r="FI23" s="250">
        <v>2.419</v>
      </c>
      <c r="FJ23" s="250">
        <v>29.219813</v>
      </c>
      <c r="FK23" s="250">
        <v>0.996152</v>
      </c>
      <c r="FL23" s="250">
        <v>2.22411813</v>
      </c>
      <c r="FM23" s="250">
        <v>0.682</v>
      </c>
      <c r="FN23" s="250">
        <v>53.828537</v>
      </c>
      <c r="FO23" s="250">
        <v>2.112</v>
      </c>
      <c r="FP23" s="250">
        <v>56.607252</v>
      </c>
      <c r="FQ23" s="250">
        <v>4.072</v>
      </c>
      <c r="FR23" s="250">
        <v>38.605069</v>
      </c>
      <c r="FS23" s="250">
        <v>0</v>
      </c>
      <c r="FT23" s="250">
        <v>82.936026</v>
      </c>
      <c r="FU23" s="250">
        <v>3.58</v>
      </c>
      <c r="FV23" s="250">
        <v>55.059137</v>
      </c>
      <c r="FW23" s="250">
        <v>1.85</v>
      </c>
      <c r="FX23" s="250">
        <v>53.804575</v>
      </c>
      <c r="FY23" s="250">
        <v>55.302122</v>
      </c>
      <c r="FZ23" s="250">
        <v>3.4637000000000002</v>
      </c>
      <c r="GA23" s="250">
        <v>3.71736</v>
      </c>
      <c r="GB23" s="250">
        <v>1.1344</v>
      </c>
      <c r="GC23" s="250">
        <v>53.795687</v>
      </c>
      <c r="GD23" s="250">
        <v>74.629244</v>
      </c>
      <c r="GE23" s="250">
        <v>5.383</v>
      </c>
      <c r="GF23" s="250">
        <v>2.206</v>
      </c>
      <c r="GG23" s="250">
        <v>85.094916</v>
      </c>
      <c r="GH23" s="250">
        <v>60.684945</v>
      </c>
      <c r="GI23" s="250">
        <v>4.291479999999999</v>
      </c>
      <c r="GJ23" s="250"/>
      <c r="GK23" s="250"/>
      <c r="GL23" s="250"/>
      <c r="GM23" s="250"/>
      <c r="GN23" s="250"/>
      <c r="GO23" s="250"/>
      <c r="GP23" s="250"/>
      <c r="GQ23" s="250"/>
      <c r="GR23" s="250">
        <f t="shared" si="8"/>
        <v>143.425163</v>
      </c>
      <c r="GS23" s="250">
        <f t="shared" si="9"/>
        <v>152.277341</v>
      </c>
    </row>
    <row r="24" spans="1:201" ht="15.75">
      <c r="A24" s="31" t="s">
        <v>32</v>
      </c>
      <c r="B24" s="61" t="s">
        <v>33</v>
      </c>
      <c r="C24" s="62" t="s">
        <v>14</v>
      </c>
      <c r="D24" s="44"/>
      <c r="E24" s="63">
        <v>3.4</v>
      </c>
      <c r="F24" s="64">
        <v>11.2</v>
      </c>
      <c r="G24" s="64">
        <v>856.3</v>
      </c>
      <c r="H24" s="64" t="s">
        <v>14</v>
      </c>
      <c r="I24" s="64">
        <v>0.3</v>
      </c>
      <c r="J24" s="62">
        <v>0.8</v>
      </c>
      <c r="K24" s="64">
        <v>952.6</v>
      </c>
      <c r="L24" s="65">
        <v>65</v>
      </c>
      <c r="M24" s="66">
        <v>249</v>
      </c>
      <c r="N24" s="66">
        <v>441.2</v>
      </c>
      <c r="O24" s="67">
        <v>1419.7</v>
      </c>
      <c r="P24" s="27">
        <v>949.1</v>
      </c>
      <c r="Q24" s="27">
        <v>1698.3</v>
      </c>
      <c r="R24" s="68">
        <v>1329.9</v>
      </c>
      <c r="S24" s="68">
        <v>3272.3</v>
      </c>
      <c r="T24" s="69">
        <v>969.7</v>
      </c>
      <c r="U24" s="69">
        <v>466</v>
      </c>
      <c r="V24" s="68">
        <v>1221.132</v>
      </c>
      <c r="W24" s="68">
        <v>1465.202</v>
      </c>
      <c r="X24" s="197">
        <v>2210.7</v>
      </c>
      <c r="Y24" s="237" t="s">
        <v>14</v>
      </c>
      <c r="Z24" s="249" t="s">
        <v>14</v>
      </c>
      <c r="AA24" s="249" t="s">
        <v>14</v>
      </c>
      <c r="AB24" s="249">
        <v>0</v>
      </c>
      <c r="AC24" s="249">
        <v>0</v>
      </c>
      <c r="AD24" s="307">
        <v>0.047934</v>
      </c>
      <c r="AE24" s="249">
        <v>0</v>
      </c>
      <c r="AF24" s="249">
        <v>0.05</v>
      </c>
      <c r="AG24" s="250" t="s">
        <v>14</v>
      </c>
      <c r="AH24" s="263">
        <v>466</v>
      </c>
      <c r="AI24" s="254"/>
      <c r="AJ24" s="254"/>
      <c r="AK24" s="254"/>
      <c r="AL24" s="254">
        <v>0</v>
      </c>
      <c r="AM24" s="263"/>
      <c r="AN24" s="263">
        <v>0</v>
      </c>
      <c r="AO24" s="263"/>
      <c r="AP24" s="263">
        <v>0</v>
      </c>
      <c r="AQ24" s="254"/>
      <c r="AR24" s="254"/>
      <c r="AS24" s="255">
        <f>SUM(AG24:AR24)</f>
        <v>466</v>
      </c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>
        <v>1046.2</v>
      </c>
      <c r="BE24" s="250">
        <v>174.932</v>
      </c>
      <c r="BF24" s="249">
        <f t="shared" si="0"/>
        <v>1221.132</v>
      </c>
      <c r="BG24" s="250">
        <v>873.826</v>
      </c>
      <c r="BH24" s="250">
        <v>591.355</v>
      </c>
      <c r="BI24" s="250"/>
      <c r="BJ24" s="250"/>
      <c r="BK24" s="250"/>
      <c r="BL24" s="250"/>
      <c r="BM24" s="250"/>
      <c r="BN24" s="250"/>
      <c r="BO24" s="250"/>
      <c r="BP24" s="250">
        <v>0.021</v>
      </c>
      <c r="BQ24" s="250">
        <v>0</v>
      </c>
      <c r="BR24" s="250">
        <v>0</v>
      </c>
      <c r="BS24" s="250">
        <f t="shared" si="2"/>
        <v>1465.202</v>
      </c>
      <c r="BT24" s="249">
        <f t="shared" si="11"/>
        <v>1465.202</v>
      </c>
      <c r="BU24" s="250" t="s">
        <v>14</v>
      </c>
      <c r="BV24" s="250" t="s">
        <v>14</v>
      </c>
      <c r="BW24" s="250"/>
      <c r="BX24" s="250">
        <v>2026.2</v>
      </c>
      <c r="BY24" s="251"/>
      <c r="BZ24" s="251">
        <v>184.5</v>
      </c>
      <c r="CA24" s="251"/>
      <c r="CB24" s="251"/>
      <c r="CC24" s="251">
        <v>0</v>
      </c>
      <c r="CD24" s="251">
        <v>0</v>
      </c>
      <c r="CE24" s="251">
        <v>0</v>
      </c>
      <c r="CF24" s="251"/>
      <c r="CG24" s="250">
        <f t="shared" si="3"/>
        <v>2210.7</v>
      </c>
      <c r="CH24" s="250" t="s">
        <v>14</v>
      </c>
      <c r="CI24" s="252"/>
      <c r="CJ24" s="252">
        <v>0</v>
      </c>
      <c r="CK24" s="252"/>
      <c r="CL24" s="252">
        <v>0</v>
      </c>
      <c r="CM24" s="252">
        <v>0</v>
      </c>
      <c r="CN24" s="252">
        <v>0</v>
      </c>
      <c r="CO24" s="252"/>
      <c r="CP24" s="252">
        <v>0</v>
      </c>
      <c r="CQ24" s="252">
        <v>0</v>
      </c>
      <c r="CR24" s="252">
        <v>0</v>
      </c>
      <c r="CS24" s="252">
        <v>0</v>
      </c>
      <c r="CT24" s="250" t="s">
        <v>14</v>
      </c>
      <c r="CU24" s="249" t="s">
        <v>14</v>
      </c>
      <c r="CV24" s="249" t="s">
        <v>14</v>
      </c>
      <c r="CW24" s="249" t="s">
        <v>14</v>
      </c>
      <c r="CX24" s="249" t="s">
        <v>14</v>
      </c>
      <c r="CY24" s="249" t="s">
        <v>14</v>
      </c>
      <c r="CZ24" s="249" t="s">
        <v>14</v>
      </c>
      <c r="DA24" s="249" t="s">
        <v>14</v>
      </c>
      <c r="DB24" s="249" t="s">
        <v>14</v>
      </c>
      <c r="DC24" s="249" t="s">
        <v>14</v>
      </c>
      <c r="DD24" s="249" t="s">
        <v>14</v>
      </c>
      <c r="DE24" s="249" t="s">
        <v>14</v>
      </c>
      <c r="DF24" s="249" t="s">
        <v>14</v>
      </c>
      <c r="DG24" s="253" t="s">
        <v>14</v>
      </c>
      <c r="DH24" s="250" t="s">
        <v>14</v>
      </c>
      <c r="DI24" s="250" t="s">
        <v>14</v>
      </c>
      <c r="DJ24" s="250">
        <v>0</v>
      </c>
      <c r="DK24" s="250">
        <v>0</v>
      </c>
      <c r="DL24" s="250"/>
      <c r="DM24" s="250"/>
      <c r="DN24" s="250">
        <v>0</v>
      </c>
      <c r="DO24" s="250">
        <v>0</v>
      </c>
      <c r="DP24" s="250"/>
      <c r="DQ24" s="250"/>
      <c r="DR24" s="250">
        <v>0</v>
      </c>
      <c r="DS24" s="250">
        <v>0</v>
      </c>
      <c r="DT24" s="252">
        <f t="shared" si="4"/>
        <v>0</v>
      </c>
      <c r="DU24" s="252"/>
      <c r="DV24" s="252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1">
        <f t="shared" si="5"/>
        <v>0</v>
      </c>
      <c r="EH24" s="251"/>
      <c r="EI24" s="250"/>
      <c r="EJ24" s="249"/>
      <c r="EK24" s="249"/>
      <c r="EL24" s="254"/>
      <c r="EM24" s="254"/>
      <c r="EN24" s="254"/>
      <c r="EO24" s="254"/>
      <c r="EP24" s="254"/>
      <c r="EQ24" s="254"/>
      <c r="ER24" s="254"/>
      <c r="ES24" s="254"/>
      <c r="ET24" s="250">
        <f t="shared" si="6"/>
        <v>0</v>
      </c>
      <c r="EU24" s="250">
        <f t="shared" si="7"/>
        <v>0</v>
      </c>
      <c r="EV24" s="250"/>
      <c r="EW24" s="250"/>
      <c r="EX24" s="250"/>
      <c r="EY24" s="250"/>
      <c r="EZ24" s="250"/>
      <c r="FA24" s="250"/>
      <c r="FB24" s="250"/>
      <c r="FC24" s="250"/>
      <c r="FD24" s="250"/>
      <c r="FE24" s="250">
        <v>0.047934</v>
      </c>
      <c r="FF24" s="250"/>
      <c r="FG24" s="261">
        <v>0</v>
      </c>
      <c r="FH24" s="250"/>
      <c r="FI24" s="250"/>
      <c r="FJ24" s="250"/>
      <c r="FK24" s="250"/>
      <c r="FL24" s="250"/>
      <c r="FM24" s="250"/>
      <c r="FN24" s="250"/>
      <c r="FO24" s="250"/>
      <c r="FP24" s="250"/>
      <c r="FQ24" s="250"/>
      <c r="FR24" s="250"/>
      <c r="FS24" s="250">
        <v>0</v>
      </c>
      <c r="FT24" s="250"/>
      <c r="FU24" s="250"/>
      <c r="FV24" s="250"/>
      <c r="FW24" s="250"/>
      <c r="FX24" s="250"/>
      <c r="FY24" s="250">
        <v>0</v>
      </c>
      <c r="FZ24" s="250"/>
      <c r="GA24" s="250"/>
      <c r="GB24" s="250"/>
      <c r="GC24" s="250">
        <v>0.02</v>
      </c>
      <c r="GD24" s="250"/>
      <c r="GE24" s="250">
        <v>0.03</v>
      </c>
      <c r="GF24" s="250"/>
      <c r="GG24" s="250">
        <v>0</v>
      </c>
      <c r="GH24" s="250">
        <v>0</v>
      </c>
      <c r="GI24" s="250">
        <v>0.039379</v>
      </c>
      <c r="GJ24" s="250"/>
      <c r="GK24" s="250"/>
      <c r="GL24" s="250"/>
      <c r="GM24" s="250"/>
      <c r="GN24" s="250"/>
      <c r="GO24" s="250"/>
      <c r="GP24" s="250"/>
      <c r="GQ24" s="250"/>
      <c r="GR24" s="250">
        <f t="shared" si="8"/>
        <v>0</v>
      </c>
      <c r="GS24" s="301">
        <f t="shared" si="9"/>
        <v>0.039379</v>
      </c>
    </row>
    <row r="25" spans="1:201" ht="15.75">
      <c r="A25" s="31" t="s">
        <v>34</v>
      </c>
      <c r="B25" s="61" t="s">
        <v>35</v>
      </c>
      <c r="C25" s="62">
        <v>21.8</v>
      </c>
      <c r="D25" s="44"/>
      <c r="E25" s="63">
        <v>5.9</v>
      </c>
      <c r="F25" s="64" t="s">
        <v>14</v>
      </c>
      <c r="G25" s="64" t="s">
        <v>14</v>
      </c>
      <c r="H25" s="64" t="s">
        <v>14</v>
      </c>
      <c r="I25" s="64">
        <v>3.6</v>
      </c>
      <c r="J25" s="62">
        <v>4.1</v>
      </c>
      <c r="K25" s="64">
        <v>1</v>
      </c>
      <c r="L25" s="65">
        <v>0.5</v>
      </c>
      <c r="M25" s="66">
        <v>0.5</v>
      </c>
      <c r="N25" s="66" t="s">
        <v>14</v>
      </c>
      <c r="O25" s="68" t="s">
        <v>14</v>
      </c>
      <c r="P25" s="27" t="s">
        <v>14</v>
      </c>
      <c r="Q25" s="27" t="s">
        <v>14</v>
      </c>
      <c r="R25" s="68" t="s">
        <v>14</v>
      </c>
      <c r="S25" s="69" t="s">
        <v>14</v>
      </c>
      <c r="T25" s="69" t="s">
        <v>14</v>
      </c>
      <c r="U25" s="69">
        <v>4.3</v>
      </c>
      <c r="V25" s="68">
        <v>43.918</v>
      </c>
      <c r="W25" s="68">
        <v>0.969</v>
      </c>
      <c r="X25" s="197">
        <v>12.6</v>
      </c>
      <c r="Y25" s="237">
        <f t="shared" si="13"/>
        <v>3.75</v>
      </c>
      <c r="Z25" s="249" t="s">
        <v>14</v>
      </c>
      <c r="AA25" s="249">
        <v>54.1</v>
      </c>
      <c r="AB25" s="249">
        <v>9.335148</v>
      </c>
      <c r="AC25" s="249">
        <v>15.272314</v>
      </c>
      <c r="AD25" s="249">
        <v>25.181269</v>
      </c>
      <c r="AE25" s="249">
        <v>168.735814</v>
      </c>
      <c r="AF25" s="249">
        <v>61.146603</v>
      </c>
      <c r="AG25" s="250">
        <v>2.4</v>
      </c>
      <c r="AH25" s="251">
        <v>0</v>
      </c>
      <c r="AI25" s="250"/>
      <c r="AJ25" s="250"/>
      <c r="AK25" s="250"/>
      <c r="AL25" s="250">
        <v>0</v>
      </c>
      <c r="AM25" s="250"/>
      <c r="AN25" s="250">
        <v>0</v>
      </c>
      <c r="AO25" s="250">
        <v>1.9</v>
      </c>
      <c r="AP25" s="250">
        <v>0</v>
      </c>
      <c r="AQ25" s="250"/>
      <c r="AR25" s="250"/>
      <c r="AS25" s="255">
        <f t="shared" si="1"/>
        <v>4.3</v>
      </c>
      <c r="AT25" s="250"/>
      <c r="AU25" s="250"/>
      <c r="AV25" s="250"/>
      <c r="AW25" s="250">
        <v>29.8</v>
      </c>
      <c r="AX25" s="250"/>
      <c r="AY25" s="250"/>
      <c r="AZ25" s="250"/>
      <c r="BA25" s="250"/>
      <c r="BB25" s="250"/>
      <c r="BC25" s="250"/>
      <c r="BD25" s="250"/>
      <c r="BE25" s="250">
        <v>14.118</v>
      </c>
      <c r="BF25" s="249">
        <f t="shared" si="0"/>
        <v>43.918</v>
      </c>
      <c r="BG25" s="250">
        <v>0.969</v>
      </c>
      <c r="BH25" s="250" t="s">
        <v>14</v>
      </c>
      <c r="BI25" s="250"/>
      <c r="BJ25" s="250"/>
      <c r="BK25" s="250"/>
      <c r="BL25" s="250"/>
      <c r="BM25" s="250"/>
      <c r="BN25" s="250"/>
      <c r="BO25" s="250"/>
      <c r="BP25" s="250">
        <v>0</v>
      </c>
      <c r="BQ25" s="250">
        <v>0</v>
      </c>
      <c r="BR25" s="250">
        <v>0</v>
      </c>
      <c r="BS25" s="250">
        <f t="shared" si="2"/>
        <v>0.969</v>
      </c>
      <c r="BT25" s="249">
        <f t="shared" si="11"/>
        <v>0.969</v>
      </c>
      <c r="BU25" s="250" t="s">
        <v>14</v>
      </c>
      <c r="BV25" s="250">
        <v>2.7</v>
      </c>
      <c r="BW25" s="251"/>
      <c r="BX25" s="251"/>
      <c r="BY25" s="251"/>
      <c r="BZ25" s="251">
        <v>0.1</v>
      </c>
      <c r="CA25" s="251">
        <v>0.9</v>
      </c>
      <c r="CB25" s="251"/>
      <c r="CC25" s="251">
        <v>1.5</v>
      </c>
      <c r="CD25" s="251">
        <v>0</v>
      </c>
      <c r="CE25" s="251">
        <v>7.4</v>
      </c>
      <c r="CF25" s="251"/>
      <c r="CG25" s="250">
        <f t="shared" si="3"/>
        <v>12.600000000000001</v>
      </c>
      <c r="CH25" s="250" t="s">
        <v>14</v>
      </c>
      <c r="CI25" s="252"/>
      <c r="CJ25" s="252">
        <v>0</v>
      </c>
      <c r="CK25" s="252"/>
      <c r="CL25" s="252">
        <v>3.75</v>
      </c>
      <c r="CM25" s="252">
        <v>0</v>
      </c>
      <c r="CN25" s="252">
        <v>0</v>
      </c>
      <c r="CO25" s="252"/>
      <c r="CP25" s="252">
        <v>0</v>
      </c>
      <c r="CQ25" s="252">
        <v>0</v>
      </c>
      <c r="CR25" s="252">
        <v>0</v>
      </c>
      <c r="CS25" s="252">
        <v>0</v>
      </c>
      <c r="CT25" s="252">
        <f t="shared" si="12"/>
        <v>3.75</v>
      </c>
      <c r="CU25" s="249" t="s">
        <v>14</v>
      </c>
      <c r="CV25" s="249" t="s">
        <v>14</v>
      </c>
      <c r="CW25" s="249" t="s">
        <v>14</v>
      </c>
      <c r="CX25" s="249" t="s">
        <v>14</v>
      </c>
      <c r="CY25" s="249" t="s">
        <v>14</v>
      </c>
      <c r="CZ25" s="249" t="s">
        <v>14</v>
      </c>
      <c r="DA25" s="249" t="s">
        <v>14</v>
      </c>
      <c r="DB25" s="249" t="s">
        <v>14</v>
      </c>
      <c r="DC25" s="249" t="s">
        <v>14</v>
      </c>
      <c r="DD25" s="249" t="s">
        <v>14</v>
      </c>
      <c r="DE25" s="249" t="s">
        <v>14</v>
      </c>
      <c r="DF25" s="249" t="s">
        <v>14</v>
      </c>
      <c r="DG25" s="253" t="s">
        <v>14</v>
      </c>
      <c r="DH25" s="250" t="s">
        <v>14</v>
      </c>
      <c r="DI25" s="250" t="s">
        <v>14</v>
      </c>
      <c r="DJ25" s="250">
        <v>0</v>
      </c>
      <c r="DK25" s="250">
        <v>0</v>
      </c>
      <c r="DL25" s="250"/>
      <c r="DM25" s="250"/>
      <c r="DN25" s="250">
        <v>0</v>
      </c>
      <c r="DO25" s="250">
        <v>0</v>
      </c>
      <c r="DP25" s="250"/>
      <c r="DQ25" s="250"/>
      <c r="DR25" s="250">
        <v>0</v>
      </c>
      <c r="DS25" s="250">
        <v>54.1</v>
      </c>
      <c r="DT25" s="252">
        <f t="shared" si="4"/>
        <v>54.1</v>
      </c>
      <c r="DU25" s="252">
        <v>7.885148</v>
      </c>
      <c r="DV25" s="252"/>
      <c r="DW25" s="250"/>
      <c r="DX25" s="250"/>
      <c r="DY25" s="250"/>
      <c r="DZ25" s="250"/>
      <c r="EA25" s="250"/>
      <c r="EB25" s="250">
        <v>0.21</v>
      </c>
      <c r="EC25" s="264">
        <v>0.63</v>
      </c>
      <c r="ED25" s="264"/>
      <c r="EE25" s="250"/>
      <c r="EF25" s="250">
        <v>0.61</v>
      </c>
      <c r="EG25" s="251">
        <f t="shared" si="5"/>
        <v>9.335148</v>
      </c>
      <c r="EH25" s="251">
        <v>0.32</v>
      </c>
      <c r="EI25" s="250"/>
      <c r="EJ25" s="249"/>
      <c r="EK25" s="249">
        <v>0.26</v>
      </c>
      <c r="EL25" s="254"/>
      <c r="EM25" s="254">
        <v>0.42</v>
      </c>
      <c r="EN25" s="254">
        <v>0.42</v>
      </c>
      <c r="EO25" s="254"/>
      <c r="EP25" s="254">
        <v>0.1</v>
      </c>
      <c r="EQ25" s="254"/>
      <c r="ER25" s="254"/>
      <c r="ES25" s="254">
        <v>13.752314</v>
      </c>
      <c r="ET25" s="250">
        <f t="shared" si="6"/>
        <v>9.335148</v>
      </c>
      <c r="EU25" s="250">
        <f t="shared" si="7"/>
        <v>15.272314</v>
      </c>
      <c r="EV25" s="250"/>
      <c r="EW25" s="250"/>
      <c r="EX25" s="250"/>
      <c r="EY25" s="250">
        <v>21.225832</v>
      </c>
      <c r="EZ25" s="250"/>
      <c r="FA25" s="250">
        <v>0.0792</v>
      </c>
      <c r="FB25" s="250"/>
      <c r="FC25" s="250">
        <v>0.3</v>
      </c>
      <c r="FD25" s="250">
        <v>0.22</v>
      </c>
      <c r="FE25" s="250">
        <v>3.356237</v>
      </c>
      <c r="FF25" s="250"/>
      <c r="FG25" s="261">
        <v>0</v>
      </c>
      <c r="FH25" s="250">
        <v>0.22</v>
      </c>
      <c r="FI25" s="250"/>
      <c r="FJ25" s="250"/>
      <c r="FK25" s="250">
        <v>9.163056</v>
      </c>
      <c r="FL25" s="250">
        <v>15.888556</v>
      </c>
      <c r="FM25" s="250">
        <v>15.863482</v>
      </c>
      <c r="FN25" s="250">
        <v>6.762717</v>
      </c>
      <c r="FO25" s="250">
        <v>3.01488</v>
      </c>
      <c r="FP25" s="250">
        <v>68.010369</v>
      </c>
      <c r="FQ25" s="250">
        <v>25.540917</v>
      </c>
      <c r="FR25" s="250">
        <v>11.012963</v>
      </c>
      <c r="FS25" s="250">
        <v>13.258873999999999</v>
      </c>
      <c r="FT25" s="250">
        <v>48.595922</v>
      </c>
      <c r="FU25" s="250"/>
      <c r="FV25" s="250"/>
      <c r="FW25" s="250">
        <v>0.384</v>
      </c>
      <c r="FX25" s="250"/>
      <c r="FY25" s="250">
        <v>1.9488</v>
      </c>
      <c r="FZ25" s="250">
        <v>1.4866</v>
      </c>
      <c r="GA25" s="250"/>
      <c r="GB25" s="250">
        <v>0.148</v>
      </c>
      <c r="GC25" s="250">
        <v>0.5528</v>
      </c>
      <c r="GD25" s="250">
        <v>1.583</v>
      </c>
      <c r="GE25" s="250">
        <v>6.447481</v>
      </c>
      <c r="GF25" s="250">
        <v>0.0875</v>
      </c>
      <c r="GG25" s="250">
        <v>0</v>
      </c>
      <c r="GH25" s="250">
        <v>0</v>
      </c>
      <c r="GI25" s="250">
        <v>0</v>
      </c>
      <c r="GJ25" s="250"/>
      <c r="GK25" s="250"/>
      <c r="GL25" s="250"/>
      <c r="GM25" s="250"/>
      <c r="GN25" s="250"/>
      <c r="GO25" s="250"/>
      <c r="GP25" s="250"/>
      <c r="GQ25" s="250"/>
      <c r="GR25" s="250">
        <f t="shared" si="8"/>
        <v>48.979922</v>
      </c>
      <c r="GS25" s="250">
        <f t="shared" si="9"/>
        <v>0.0875</v>
      </c>
    </row>
    <row r="26" spans="1:201" ht="15.75">
      <c r="A26" s="31" t="s">
        <v>36</v>
      </c>
      <c r="B26" s="61" t="s">
        <v>37</v>
      </c>
      <c r="C26" s="62">
        <v>121.7</v>
      </c>
      <c r="D26" s="44"/>
      <c r="E26" s="63">
        <v>10.3</v>
      </c>
      <c r="F26" s="64">
        <v>11</v>
      </c>
      <c r="G26" s="64">
        <v>43.1</v>
      </c>
      <c r="H26" s="64">
        <v>97.8</v>
      </c>
      <c r="I26" s="64">
        <v>177.4</v>
      </c>
      <c r="J26" s="62">
        <v>802.5</v>
      </c>
      <c r="K26" s="64">
        <v>86.4</v>
      </c>
      <c r="L26" s="65">
        <v>11.5</v>
      </c>
      <c r="M26" s="66">
        <v>77.6</v>
      </c>
      <c r="N26" s="66">
        <v>5.7</v>
      </c>
      <c r="O26" s="68">
        <v>2</v>
      </c>
      <c r="P26" s="27">
        <v>1104.7</v>
      </c>
      <c r="Q26" s="27">
        <v>1165.8</v>
      </c>
      <c r="R26" s="68">
        <v>1106.1</v>
      </c>
      <c r="S26" s="68">
        <v>2067.3</v>
      </c>
      <c r="T26" s="69">
        <v>1432.8</v>
      </c>
      <c r="U26" s="69">
        <v>603.595</v>
      </c>
      <c r="V26" s="68">
        <v>873.2169999999999</v>
      </c>
      <c r="W26" s="68">
        <v>1821.798</v>
      </c>
      <c r="X26" s="197">
        <v>1596.37</v>
      </c>
      <c r="Y26" s="237">
        <f t="shared" si="13"/>
        <v>2222.433714</v>
      </c>
      <c r="Z26" s="249">
        <f t="shared" si="10"/>
        <v>2802.038971</v>
      </c>
      <c r="AA26" s="249">
        <v>3837.8147644960604</v>
      </c>
      <c r="AB26" s="249">
        <v>4253.9136168832</v>
      </c>
      <c r="AC26" s="249">
        <v>9015.67827764544</v>
      </c>
      <c r="AD26" s="249">
        <v>10269.736763470002</v>
      </c>
      <c r="AE26" s="249">
        <v>8921.782894</v>
      </c>
      <c r="AF26" s="249">
        <v>11664.852566</v>
      </c>
      <c r="AG26" s="250">
        <v>37.5</v>
      </c>
      <c r="AH26" s="263">
        <v>38.8</v>
      </c>
      <c r="AI26" s="263">
        <v>49.9</v>
      </c>
      <c r="AJ26" s="263">
        <v>41.5</v>
      </c>
      <c r="AK26" s="263">
        <v>38.7</v>
      </c>
      <c r="AL26" s="263">
        <f>1.4+1.4+4.9+5.1+4.1+3.6+5.4+3.6+5.4+3.8+5.2</f>
        <v>43.9</v>
      </c>
      <c r="AM26" s="263">
        <v>69.3</v>
      </c>
      <c r="AN26" s="263">
        <v>86.2</v>
      </c>
      <c r="AO26" s="263">
        <v>51.5</v>
      </c>
      <c r="AP26" s="263">
        <f>1.4+1.5+43.4</f>
        <v>46.3</v>
      </c>
      <c r="AQ26" s="263">
        <v>44.195</v>
      </c>
      <c r="AR26" s="263">
        <v>55.8</v>
      </c>
      <c r="AS26" s="255">
        <f t="shared" si="1"/>
        <v>603.5949999999999</v>
      </c>
      <c r="AT26" s="250">
        <v>40.5</v>
      </c>
      <c r="AU26" s="250">
        <v>53.2</v>
      </c>
      <c r="AV26" s="250">
        <v>44.3</v>
      </c>
      <c r="AW26" s="250">
        <v>61.2</v>
      </c>
      <c r="AX26" s="250">
        <v>63.8</v>
      </c>
      <c r="AY26" s="250">
        <v>49.4</v>
      </c>
      <c r="AZ26" s="250">
        <v>100.9</v>
      </c>
      <c r="BA26" s="250">
        <v>60</v>
      </c>
      <c r="BB26" s="250">
        <v>76.5</v>
      </c>
      <c r="BC26" s="250">
        <v>128.3</v>
      </c>
      <c r="BD26" s="250">
        <v>85.1</v>
      </c>
      <c r="BE26" s="250">
        <v>110.017</v>
      </c>
      <c r="BF26" s="249">
        <f t="shared" si="0"/>
        <v>873.2169999999999</v>
      </c>
      <c r="BG26" s="250">
        <f>118.3-0.969</f>
        <v>117.331</v>
      </c>
      <c r="BH26" s="250">
        <f>66.866+257.049</f>
        <v>323.91499999999996</v>
      </c>
      <c r="BI26" s="250">
        <v>124.8</v>
      </c>
      <c r="BJ26" s="250">
        <v>98.53</v>
      </c>
      <c r="BK26" s="250">
        <v>140.577</v>
      </c>
      <c r="BL26" s="250">
        <v>103.8</v>
      </c>
      <c r="BM26" s="250">
        <f>21.526+2.105+132.269</f>
        <v>155.9</v>
      </c>
      <c r="BN26" s="250">
        <v>162.7</v>
      </c>
      <c r="BO26" s="250">
        <v>129.9</v>
      </c>
      <c r="BP26" s="250">
        <v>147.4</v>
      </c>
      <c r="BQ26" s="250">
        <v>117.175</v>
      </c>
      <c r="BR26" s="250">
        <f>11.6+2.5+167.7+17.97</f>
        <v>199.76999999999998</v>
      </c>
      <c r="BS26" s="250">
        <f t="shared" si="2"/>
        <v>1821.798</v>
      </c>
      <c r="BT26" s="249">
        <f t="shared" si="11"/>
        <v>1821.798</v>
      </c>
      <c r="BU26" s="250">
        <v>94</v>
      </c>
      <c r="BV26" s="251">
        <f>136.2-2.7</f>
        <v>133.5</v>
      </c>
      <c r="BW26" s="251">
        <f>3.9+16.1+2.2+6.4+1.7+1.7+14.9+43.9+14.5+18.1+0.1</f>
        <v>123.5</v>
      </c>
      <c r="BX26" s="251">
        <v>178.1</v>
      </c>
      <c r="BY26" s="251">
        <v>138.9</v>
      </c>
      <c r="BZ26" s="251">
        <v>166</v>
      </c>
      <c r="CA26" s="251">
        <v>149</v>
      </c>
      <c r="CB26" s="251">
        <v>151.17</v>
      </c>
      <c r="CC26" s="251">
        <f>19.5+8.9+2.4+9+3.2+137.2+2.4</f>
        <v>182.6</v>
      </c>
      <c r="CD26" s="251">
        <v>56.3</v>
      </c>
      <c r="CE26" s="251">
        <v>74.9</v>
      </c>
      <c r="CF26" s="251">
        <v>148.4</v>
      </c>
      <c r="CG26" s="250">
        <f t="shared" si="3"/>
        <v>1596.3700000000001</v>
      </c>
      <c r="CH26" s="259">
        <v>93.5</v>
      </c>
      <c r="CI26" s="252">
        <v>158.8</v>
      </c>
      <c r="CJ26" s="252">
        <v>171.5</v>
      </c>
      <c r="CK26" s="252">
        <v>153.7</v>
      </c>
      <c r="CL26" s="252">
        <f>22.69+12.966+50.76+86.753</f>
        <v>173.16899999999998</v>
      </c>
      <c r="CM26" s="252">
        <v>244.71</v>
      </c>
      <c r="CN26" s="252">
        <v>154.5</v>
      </c>
      <c r="CO26" s="252">
        <v>252.6</v>
      </c>
      <c r="CP26" s="252">
        <v>180.838535</v>
      </c>
      <c r="CQ26" s="252">
        <v>194.416179</v>
      </c>
      <c r="CR26" s="252">
        <v>239.5</v>
      </c>
      <c r="CS26" s="252">
        <v>205.2</v>
      </c>
      <c r="CT26" s="252">
        <f t="shared" si="12"/>
        <v>2222.433714</v>
      </c>
      <c r="CU26" s="252">
        <v>220.7</v>
      </c>
      <c r="CV26" s="250">
        <v>204.3</v>
      </c>
      <c r="CW26" s="250">
        <v>135.6</v>
      </c>
      <c r="CX26" s="250">
        <v>292.9</v>
      </c>
      <c r="CY26" s="250">
        <v>236.8</v>
      </c>
      <c r="CZ26" s="250">
        <v>136.6</v>
      </c>
      <c r="DA26" s="250">
        <v>225</v>
      </c>
      <c r="DB26" s="250">
        <v>251.86</v>
      </c>
      <c r="DC26" s="250">
        <v>314.3</v>
      </c>
      <c r="DD26" s="250">
        <v>237.815394</v>
      </c>
      <c r="DE26" s="250">
        <f>+'[1]exports_rubriques'!$G$23</f>
        <v>223.763577</v>
      </c>
      <c r="DF26" s="250">
        <v>322.4</v>
      </c>
      <c r="DG26" s="253">
        <f t="shared" si="14"/>
        <v>2802.038971</v>
      </c>
      <c r="DH26" s="252">
        <v>270.31079649606</v>
      </c>
      <c r="DI26" s="252">
        <v>197.830425</v>
      </c>
      <c r="DJ26" s="252">
        <v>135.648237</v>
      </c>
      <c r="DK26" s="252">
        <v>209.2</v>
      </c>
      <c r="DL26" s="252">
        <v>371.47</v>
      </c>
      <c r="DM26" s="252">
        <v>215.5</v>
      </c>
      <c r="DN26" s="252">
        <v>370.1</v>
      </c>
      <c r="DO26" s="252">
        <v>403.046385</v>
      </c>
      <c r="DP26" s="252">
        <v>301.3</v>
      </c>
      <c r="DQ26" s="252">
        <v>417.971725</v>
      </c>
      <c r="DR26" s="252">
        <f>+SUM('[2]EX1'!$E$33:$E$35)</f>
        <v>394.037196</v>
      </c>
      <c r="DS26" s="252">
        <v>551.4</v>
      </c>
      <c r="DT26" s="252">
        <f t="shared" si="4"/>
        <v>3837.8147644960604</v>
      </c>
      <c r="DU26" s="252">
        <v>252.664302</v>
      </c>
      <c r="DV26" s="252">
        <v>188.58350984999998</v>
      </c>
      <c r="DW26" s="250">
        <v>160.309609</v>
      </c>
      <c r="DX26" s="250">
        <v>280.441942</v>
      </c>
      <c r="DY26" s="250">
        <v>202.5924015393</v>
      </c>
      <c r="DZ26" s="250">
        <v>332.96899426639993</v>
      </c>
      <c r="EA26" s="250">
        <v>409.68454202832</v>
      </c>
      <c r="EB26" s="250">
        <v>376.5046888216201</v>
      </c>
      <c r="EC26" s="252">
        <v>463.5389891133399</v>
      </c>
      <c r="ED26" s="252">
        <v>539.38797053346</v>
      </c>
      <c r="EE26" s="250">
        <v>497.61280969075995</v>
      </c>
      <c r="EF26" s="250">
        <v>549.62385804</v>
      </c>
      <c r="EG26" s="251">
        <f t="shared" si="5"/>
        <v>4253.9136168832</v>
      </c>
      <c r="EH26" s="251">
        <v>564.9372940064402</v>
      </c>
      <c r="EI26" s="250">
        <v>545.0631495789996</v>
      </c>
      <c r="EJ26" s="249">
        <v>506.12536391000015</v>
      </c>
      <c r="EK26" s="249">
        <v>649.0239236999996</v>
      </c>
      <c r="EL26" s="254">
        <v>670.9338908100001</v>
      </c>
      <c r="EM26" s="254">
        <v>633.4191118299997</v>
      </c>
      <c r="EN26" s="254">
        <v>829.8875808999999</v>
      </c>
      <c r="EO26" s="254">
        <v>835.0546777700001</v>
      </c>
      <c r="EP26" s="254">
        <v>832.4069081400002</v>
      </c>
      <c r="EQ26" s="254">
        <v>1071.786665</v>
      </c>
      <c r="ER26" s="254">
        <v>822.209177</v>
      </c>
      <c r="ES26" s="254">
        <v>1054.830535</v>
      </c>
      <c r="ET26" s="250">
        <f t="shared" si="6"/>
        <v>4253.9136168832</v>
      </c>
      <c r="EU26" s="250">
        <f t="shared" si="7"/>
        <v>9015.67827764544</v>
      </c>
      <c r="EV26" s="250">
        <v>815.564144</v>
      </c>
      <c r="EW26" s="250">
        <v>798.178254</v>
      </c>
      <c r="EX26" s="250">
        <v>815.081044</v>
      </c>
      <c r="EY26" s="250">
        <v>685.41484</v>
      </c>
      <c r="EZ26" s="250">
        <v>775.524157</v>
      </c>
      <c r="FA26" s="250">
        <v>467.244855</v>
      </c>
      <c r="FB26" s="250">
        <v>644.799023</v>
      </c>
      <c r="FC26" s="250">
        <v>861.762845</v>
      </c>
      <c r="FD26" s="250">
        <v>863.7984424699997</v>
      </c>
      <c r="FE26" s="250">
        <v>1327.930004</v>
      </c>
      <c r="FF26" s="250">
        <v>784.291091</v>
      </c>
      <c r="FG26" s="261">
        <v>1430.148064</v>
      </c>
      <c r="FH26" s="250">
        <v>799.998946</v>
      </c>
      <c r="FI26" s="250">
        <v>949.39952</v>
      </c>
      <c r="FJ26" s="250">
        <v>1135.715335</v>
      </c>
      <c r="FK26" s="250">
        <v>988.811285</v>
      </c>
      <c r="FL26" s="250">
        <v>640.636201</v>
      </c>
      <c r="FM26" s="250">
        <v>655.422042</v>
      </c>
      <c r="FN26" s="250">
        <v>450.138424</v>
      </c>
      <c r="FO26" s="250">
        <v>604.734285</v>
      </c>
      <c r="FP26" s="250">
        <v>665.830096</v>
      </c>
      <c r="FQ26" s="250">
        <v>628.914097</v>
      </c>
      <c r="FR26" s="250">
        <v>508.537273</v>
      </c>
      <c r="FS26" s="250">
        <v>893.64539</v>
      </c>
      <c r="FT26" s="250">
        <v>913.85033</v>
      </c>
      <c r="FU26" s="250">
        <v>2184.440454</v>
      </c>
      <c r="FV26" s="250">
        <v>848.295861</v>
      </c>
      <c r="FW26" s="250">
        <v>1037.041498</v>
      </c>
      <c r="FX26" s="250">
        <v>1022.113515</v>
      </c>
      <c r="FY26" s="250">
        <v>876.838934</v>
      </c>
      <c r="FZ26" s="250">
        <v>889.585657</v>
      </c>
      <c r="GA26" s="250">
        <v>1359.115706</v>
      </c>
      <c r="GB26" s="250">
        <v>1239.743389</v>
      </c>
      <c r="GC26" s="250">
        <v>234.923233</v>
      </c>
      <c r="GD26" s="250">
        <v>322.618688</v>
      </c>
      <c r="GE26" s="250">
        <v>736.285301</v>
      </c>
      <c r="GF26" s="250">
        <v>334.980717</v>
      </c>
      <c r="GG26" s="250">
        <v>334.935469</v>
      </c>
      <c r="GH26" s="250">
        <v>478.361963</v>
      </c>
      <c r="GI26" s="250">
        <v>503.458265</v>
      </c>
      <c r="GJ26" s="250"/>
      <c r="GK26" s="250"/>
      <c r="GL26" s="250"/>
      <c r="GM26" s="250"/>
      <c r="GN26" s="250"/>
      <c r="GO26" s="250"/>
      <c r="GP26" s="250"/>
      <c r="GQ26" s="250"/>
      <c r="GR26" s="250">
        <f t="shared" si="8"/>
        <v>4983.628143</v>
      </c>
      <c r="GS26" s="250">
        <f t="shared" si="9"/>
        <v>1651.736414</v>
      </c>
    </row>
    <row r="27" spans="1:201" ht="15.75">
      <c r="A27" s="31" t="s">
        <v>38</v>
      </c>
      <c r="B27" s="61" t="s">
        <v>39</v>
      </c>
      <c r="C27" s="62">
        <v>203.4</v>
      </c>
      <c r="D27" s="44"/>
      <c r="E27" s="63">
        <v>222.6</v>
      </c>
      <c r="F27" s="64">
        <v>326.2</v>
      </c>
      <c r="G27" s="64">
        <v>424</v>
      </c>
      <c r="H27" s="64">
        <v>329.4</v>
      </c>
      <c r="I27" s="64">
        <v>109.1</v>
      </c>
      <c r="J27" s="62">
        <v>2.6</v>
      </c>
      <c r="K27" s="64">
        <v>58.4</v>
      </c>
      <c r="L27" s="65">
        <v>0.7</v>
      </c>
      <c r="M27" s="66">
        <v>54</v>
      </c>
      <c r="N27" s="66">
        <v>2.6</v>
      </c>
      <c r="O27" s="68" t="s">
        <v>14</v>
      </c>
      <c r="P27" s="27">
        <v>203.2</v>
      </c>
      <c r="Q27" s="28" t="s">
        <v>14</v>
      </c>
      <c r="R27" s="68">
        <v>268.4</v>
      </c>
      <c r="S27" s="68">
        <v>339.4</v>
      </c>
      <c r="T27" s="69">
        <v>370</v>
      </c>
      <c r="U27" s="69">
        <v>323</v>
      </c>
      <c r="V27" s="68" t="s">
        <v>14</v>
      </c>
      <c r="W27" s="69" t="s">
        <v>14</v>
      </c>
      <c r="X27" s="197" t="s">
        <v>14</v>
      </c>
      <c r="Y27" s="237" t="s">
        <v>14</v>
      </c>
      <c r="Z27" s="249" t="s">
        <v>14</v>
      </c>
      <c r="AA27" s="249" t="s">
        <v>14</v>
      </c>
      <c r="AB27" s="249">
        <v>0</v>
      </c>
      <c r="AC27" s="249">
        <v>19.042497989999998</v>
      </c>
      <c r="AD27" s="249">
        <v>0</v>
      </c>
      <c r="AE27" s="249">
        <v>2.7513620000000003</v>
      </c>
      <c r="AF27" s="249">
        <v>0</v>
      </c>
      <c r="AG27" s="250" t="s">
        <v>14</v>
      </c>
      <c r="AH27" s="263"/>
      <c r="AI27" s="254"/>
      <c r="AJ27" s="254"/>
      <c r="AK27" s="254"/>
      <c r="AL27" s="254"/>
      <c r="AM27" s="254"/>
      <c r="AN27" s="254">
        <v>0</v>
      </c>
      <c r="AO27" s="254"/>
      <c r="AP27" s="263">
        <v>0</v>
      </c>
      <c r="AQ27" s="263"/>
      <c r="AR27" s="254">
        <v>323</v>
      </c>
      <c r="AS27" s="255">
        <f t="shared" si="1"/>
        <v>323</v>
      </c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49">
        <f t="shared" si="0"/>
        <v>0</v>
      </c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>
        <v>0</v>
      </c>
      <c r="BR27" s="250">
        <v>0</v>
      </c>
      <c r="BS27" s="250">
        <f t="shared" si="2"/>
        <v>0</v>
      </c>
      <c r="BT27" s="249" t="s">
        <v>14</v>
      </c>
      <c r="BU27" s="250" t="s">
        <v>14</v>
      </c>
      <c r="BV27" s="250" t="s">
        <v>14</v>
      </c>
      <c r="BW27" s="250"/>
      <c r="BX27" s="250"/>
      <c r="BY27" s="250">
        <v>137.5</v>
      </c>
      <c r="BZ27" s="251">
        <v>0</v>
      </c>
      <c r="CA27" s="251"/>
      <c r="CB27" s="251"/>
      <c r="CC27" s="251">
        <v>0</v>
      </c>
      <c r="CD27" s="251">
        <v>0</v>
      </c>
      <c r="CE27" s="251">
        <v>0</v>
      </c>
      <c r="CF27" s="251"/>
      <c r="CG27" s="250">
        <f t="shared" si="3"/>
        <v>137.5</v>
      </c>
      <c r="CH27" s="250" t="s">
        <v>14</v>
      </c>
      <c r="CI27" s="252">
        <v>0</v>
      </c>
      <c r="CJ27" s="252">
        <v>0</v>
      </c>
      <c r="CK27" s="252"/>
      <c r="CL27" s="252">
        <v>0</v>
      </c>
      <c r="CM27" s="252">
        <v>0</v>
      </c>
      <c r="CN27" s="252">
        <v>0</v>
      </c>
      <c r="CO27" s="252"/>
      <c r="CP27" s="252">
        <v>0</v>
      </c>
      <c r="CQ27" s="252">
        <v>0</v>
      </c>
      <c r="CR27" s="252">
        <v>0</v>
      </c>
      <c r="CS27" s="252">
        <v>0</v>
      </c>
      <c r="CT27" s="250" t="s">
        <v>14</v>
      </c>
      <c r="CU27" s="249" t="s">
        <v>14</v>
      </c>
      <c r="CV27" s="249" t="s">
        <v>14</v>
      </c>
      <c r="CW27" s="249" t="s">
        <v>14</v>
      </c>
      <c r="CX27" s="249" t="s">
        <v>14</v>
      </c>
      <c r="CY27" s="249" t="s">
        <v>14</v>
      </c>
      <c r="CZ27" s="249" t="s">
        <v>14</v>
      </c>
      <c r="DA27" s="249" t="s">
        <v>14</v>
      </c>
      <c r="DB27" s="249" t="s">
        <v>14</v>
      </c>
      <c r="DC27" s="249" t="s">
        <v>14</v>
      </c>
      <c r="DD27" s="249" t="s">
        <v>14</v>
      </c>
      <c r="DE27" s="249" t="s">
        <v>14</v>
      </c>
      <c r="DF27" s="249" t="s">
        <v>14</v>
      </c>
      <c r="DG27" s="253" t="s">
        <v>14</v>
      </c>
      <c r="DH27" s="250" t="s">
        <v>14</v>
      </c>
      <c r="DI27" s="250" t="s">
        <v>14</v>
      </c>
      <c r="DJ27" s="250">
        <v>0</v>
      </c>
      <c r="DK27" s="250">
        <v>0</v>
      </c>
      <c r="DL27" s="250"/>
      <c r="DM27" s="250"/>
      <c r="DN27" s="250"/>
      <c r="DO27" s="250"/>
      <c r="DP27" s="250"/>
      <c r="DQ27" s="250"/>
      <c r="DR27" s="250">
        <v>0</v>
      </c>
      <c r="DS27" s="250">
        <v>0</v>
      </c>
      <c r="DT27" s="252">
        <f t="shared" si="4"/>
        <v>0</v>
      </c>
      <c r="DU27" s="252"/>
      <c r="DV27" s="252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1">
        <f t="shared" si="5"/>
        <v>0</v>
      </c>
      <c r="EH27" s="251"/>
      <c r="EI27" s="250"/>
      <c r="EJ27" s="249"/>
      <c r="EK27" s="249"/>
      <c r="EL27" s="254"/>
      <c r="EM27" s="254"/>
      <c r="EN27" s="254"/>
      <c r="EO27" s="254"/>
      <c r="EP27" s="254">
        <v>19.042497989999998</v>
      </c>
      <c r="EQ27" s="254"/>
      <c r="ER27" s="254"/>
      <c r="ES27" s="254"/>
      <c r="ET27" s="250">
        <f t="shared" si="6"/>
        <v>0</v>
      </c>
      <c r="EU27" s="250">
        <f t="shared" si="7"/>
        <v>19.042497989999998</v>
      </c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61">
        <v>0</v>
      </c>
      <c r="FH27" s="250"/>
      <c r="FI27" s="250"/>
      <c r="FJ27" s="250"/>
      <c r="FK27" s="250">
        <v>1.651477</v>
      </c>
      <c r="FL27" s="250">
        <v>0.332229</v>
      </c>
      <c r="FM27" s="250">
        <v>0.767656</v>
      </c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>
        <v>0</v>
      </c>
      <c r="FZ27" s="250"/>
      <c r="GA27" s="250"/>
      <c r="GB27" s="250"/>
      <c r="GC27" s="250"/>
      <c r="GD27" s="250"/>
      <c r="GE27" s="250"/>
      <c r="GF27" s="250"/>
      <c r="GG27" s="250">
        <v>0</v>
      </c>
      <c r="GH27" s="250">
        <v>0</v>
      </c>
      <c r="GI27" s="250">
        <v>0</v>
      </c>
      <c r="GJ27" s="250"/>
      <c r="GK27" s="250"/>
      <c r="GL27" s="250"/>
      <c r="GM27" s="250"/>
      <c r="GN27" s="250"/>
      <c r="GO27" s="250"/>
      <c r="GP27" s="250"/>
      <c r="GQ27" s="250"/>
      <c r="GR27" s="250">
        <f t="shared" si="8"/>
        <v>0</v>
      </c>
      <c r="GS27" s="250">
        <f t="shared" si="9"/>
        <v>0</v>
      </c>
    </row>
    <row r="28" spans="1:201" ht="15.75">
      <c r="A28" s="31" t="s">
        <v>40</v>
      </c>
      <c r="B28" s="61" t="s">
        <v>41</v>
      </c>
      <c r="C28" s="62" t="s">
        <v>14</v>
      </c>
      <c r="D28" s="44"/>
      <c r="E28" s="64" t="s">
        <v>14</v>
      </c>
      <c r="F28" s="64">
        <v>14.9</v>
      </c>
      <c r="G28" s="64">
        <v>125</v>
      </c>
      <c r="H28" s="64">
        <v>419.3</v>
      </c>
      <c r="I28" s="64">
        <v>321.5</v>
      </c>
      <c r="J28" s="62" t="s">
        <v>14</v>
      </c>
      <c r="K28" s="64" t="s">
        <v>14</v>
      </c>
      <c r="L28" s="65" t="s">
        <v>14</v>
      </c>
      <c r="M28" s="66">
        <v>1.3</v>
      </c>
      <c r="N28" s="66">
        <v>34</v>
      </c>
      <c r="O28" s="67">
        <v>51.9</v>
      </c>
      <c r="P28" s="27">
        <v>443.8</v>
      </c>
      <c r="Q28" s="27">
        <v>405.3</v>
      </c>
      <c r="R28" s="68">
        <v>746.5</v>
      </c>
      <c r="S28" s="68">
        <v>791</v>
      </c>
      <c r="T28" s="69">
        <v>869.8</v>
      </c>
      <c r="U28" s="69">
        <v>806.6790000000001</v>
      </c>
      <c r="V28" s="68">
        <v>985.77</v>
      </c>
      <c r="W28" s="68">
        <v>1796.857</v>
      </c>
      <c r="X28" s="197">
        <v>1636.05</v>
      </c>
      <c r="Y28" s="237">
        <f t="shared" si="13"/>
        <v>1685.437256</v>
      </c>
      <c r="Z28" s="249">
        <f t="shared" si="10"/>
        <v>1646.258778</v>
      </c>
      <c r="AA28" s="249">
        <v>4002.3072</v>
      </c>
      <c r="AB28" s="249">
        <v>6367.6376953675</v>
      </c>
      <c r="AC28" s="249">
        <v>6021.956190475001</v>
      </c>
      <c r="AD28" s="249">
        <v>9247.658116000002</v>
      </c>
      <c r="AE28" s="249">
        <v>8825.991827</v>
      </c>
      <c r="AF28" s="249">
        <v>11683.5053778</v>
      </c>
      <c r="AG28" s="250">
        <v>63.9</v>
      </c>
      <c r="AH28" s="263">
        <v>64.4</v>
      </c>
      <c r="AI28" s="263">
        <v>64.8</v>
      </c>
      <c r="AJ28" s="263">
        <v>32.6</v>
      </c>
      <c r="AK28" s="263">
        <v>98.6</v>
      </c>
      <c r="AL28" s="263"/>
      <c r="AM28" s="263">
        <v>80.4</v>
      </c>
      <c r="AN28" s="263">
        <v>79.8</v>
      </c>
      <c r="AO28" s="263">
        <v>80.6</v>
      </c>
      <c r="AP28" s="263">
        <v>81.1</v>
      </c>
      <c r="AQ28" s="263">
        <v>80.879</v>
      </c>
      <c r="AR28" s="263">
        <v>79.6</v>
      </c>
      <c r="AS28" s="255">
        <f t="shared" si="1"/>
        <v>806.6790000000001</v>
      </c>
      <c r="AT28" s="250">
        <v>39.2</v>
      </c>
      <c r="AU28" s="250">
        <v>80.6</v>
      </c>
      <c r="AV28" s="250">
        <v>79.9</v>
      </c>
      <c r="AW28" s="250">
        <v>80.3</v>
      </c>
      <c r="AX28" s="250">
        <v>121.4</v>
      </c>
      <c r="AY28" s="250">
        <v>126.87</v>
      </c>
      <c r="AZ28" s="250">
        <v>56</v>
      </c>
      <c r="BA28" s="250">
        <v>98.7</v>
      </c>
      <c r="BB28" s="250">
        <v>84.7</v>
      </c>
      <c r="BC28" s="250">
        <v>86.6</v>
      </c>
      <c r="BD28" s="250">
        <v>87.6</v>
      </c>
      <c r="BE28" s="250">
        <v>43.9</v>
      </c>
      <c r="BF28" s="249">
        <f t="shared" si="0"/>
        <v>985.7700000000001</v>
      </c>
      <c r="BG28" s="250">
        <v>87.686</v>
      </c>
      <c r="BH28" s="250">
        <v>134.857</v>
      </c>
      <c r="BI28" s="250">
        <v>150.579</v>
      </c>
      <c r="BJ28" s="250">
        <v>150.156</v>
      </c>
      <c r="BK28" s="250">
        <v>166.27</v>
      </c>
      <c r="BL28" s="250">
        <v>181.345</v>
      </c>
      <c r="BM28" s="250">
        <v>149.629</v>
      </c>
      <c r="BN28" s="250">
        <v>132</v>
      </c>
      <c r="BO28" s="250">
        <v>215.8</v>
      </c>
      <c r="BP28" s="250">
        <v>134.7</v>
      </c>
      <c r="BQ28" s="250">
        <v>68.675</v>
      </c>
      <c r="BR28" s="250">
        <v>225.16</v>
      </c>
      <c r="BS28" s="250">
        <f t="shared" si="2"/>
        <v>1796.857</v>
      </c>
      <c r="BT28" s="249">
        <f t="shared" si="11"/>
        <v>1796.857</v>
      </c>
      <c r="BU28" s="250">
        <v>68.9</v>
      </c>
      <c r="BV28" s="251">
        <v>137.6</v>
      </c>
      <c r="BW28" s="251">
        <f>68.6+69.3</f>
        <v>137.89999999999998</v>
      </c>
      <c r="BX28" s="251">
        <v>154.7</v>
      </c>
      <c r="BY28" s="251"/>
      <c r="BZ28" s="251">
        <v>206.6</v>
      </c>
      <c r="CA28" s="251">
        <v>138</v>
      </c>
      <c r="CB28" s="251">
        <v>155.05</v>
      </c>
      <c r="CC28" s="251">
        <f>68.9+137.8</f>
        <v>206.70000000000002</v>
      </c>
      <c r="CD28" s="251">
        <v>137.8</v>
      </c>
      <c r="CE28" s="251">
        <v>155</v>
      </c>
      <c r="CF28" s="251">
        <v>137.8</v>
      </c>
      <c r="CG28" s="250">
        <f t="shared" si="3"/>
        <v>1636.05</v>
      </c>
      <c r="CH28" s="251">
        <v>68.9</v>
      </c>
      <c r="CI28" s="252">
        <v>206.6</v>
      </c>
      <c r="CJ28" s="252">
        <v>92.3</v>
      </c>
      <c r="CK28" s="252">
        <v>147.6</v>
      </c>
      <c r="CL28" s="252">
        <v>147.61</v>
      </c>
      <c r="CM28" s="252">
        <v>166.06</v>
      </c>
      <c r="CN28" s="252">
        <v>147.7</v>
      </c>
      <c r="CO28" s="252">
        <v>73.9</v>
      </c>
      <c r="CP28" s="252">
        <v>167.094678</v>
      </c>
      <c r="CQ28" s="252">
        <v>149.572578</v>
      </c>
      <c r="CR28" s="252">
        <v>149.6</v>
      </c>
      <c r="CS28" s="252">
        <v>168.5</v>
      </c>
      <c r="CT28" s="252">
        <f t="shared" si="12"/>
        <v>1685.437256</v>
      </c>
      <c r="CU28" s="252">
        <v>168.6</v>
      </c>
      <c r="CV28" s="250">
        <v>157.1</v>
      </c>
      <c r="CW28" s="250">
        <v>169</v>
      </c>
      <c r="CX28" s="250">
        <v>150.4</v>
      </c>
      <c r="CY28" s="250">
        <v>150.6</v>
      </c>
      <c r="CZ28" s="250">
        <v>150.9</v>
      </c>
      <c r="DA28" s="250">
        <v>170.5</v>
      </c>
      <c r="DB28" s="250">
        <v>157.6</v>
      </c>
      <c r="DC28" s="250">
        <v>214.17</v>
      </c>
      <c r="DD28" s="250">
        <v>77.99085</v>
      </c>
      <c r="DE28" s="250">
        <f>+'[1]exports_rubriques'!$G$28</f>
        <v>79.397928</v>
      </c>
      <c r="DF28" s="250">
        <v>0</v>
      </c>
      <c r="DG28" s="253">
        <f t="shared" si="14"/>
        <v>1646.258778</v>
      </c>
      <c r="DH28" s="252">
        <v>455.663474</v>
      </c>
      <c r="DI28" s="252">
        <v>276.374201</v>
      </c>
      <c r="DJ28" s="252">
        <v>169.006503</v>
      </c>
      <c r="DK28" s="252">
        <v>105.6</v>
      </c>
      <c r="DL28" s="252">
        <v>340.77</v>
      </c>
      <c r="DM28" s="252">
        <v>388.5</v>
      </c>
      <c r="DN28" s="252">
        <v>487</v>
      </c>
      <c r="DO28" s="252">
        <v>401.684637</v>
      </c>
      <c r="DP28" s="252">
        <v>353.3</v>
      </c>
      <c r="DQ28" s="252">
        <v>508.040272</v>
      </c>
      <c r="DR28" s="252">
        <f>+SUM('[2]EX1'!$E$38:$E$40)</f>
        <v>330.76811299999997</v>
      </c>
      <c r="DS28" s="252">
        <v>185.6</v>
      </c>
      <c r="DT28" s="252">
        <f t="shared" si="4"/>
        <v>4002.3072</v>
      </c>
      <c r="DU28" s="252">
        <v>438.325675</v>
      </c>
      <c r="DV28" s="252">
        <v>455.679052</v>
      </c>
      <c r="DW28" s="250">
        <v>640.979246</v>
      </c>
      <c r="DX28" s="250">
        <v>599.358648</v>
      </c>
      <c r="DY28" s="250">
        <v>636.4854763999999</v>
      </c>
      <c r="DZ28" s="250">
        <v>589.8597253</v>
      </c>
      <c r="EA28" s="250">
        <v>774.4031428499999</v>
      </c>
      <c r="EB28" s="250">
        <v>694.1820728299999</v>
      </c>
      <c r="EC28" s="250">
        <v>738.40270285</v>
      </c>
      <c r="ED28" s="250">
        <v>206.78472350000004</v>
      </c>
      <c r="EE28" s="250">
        <v>352.9038462375001</v>
      </c>
      <c r="EF28" s="250">
        <v>240.2733844</v>
      </c>
      <c r="EG28" s="251">
        <f t="shared" si="5"/>
        <v>6367.6376953675</v>
      </c>
      <c r="EH28" s="251">
        <v>606.9765336500001</v>
      </c>
      <c r="EI28" s="250">
        <v>11.087715525</v>
      </c>
      <c r="EJ28" s="249">
        <v>476.95633446999994</v>
      </c>
      <c r="EK28" s="249">
        <v>621.65177075</v>
      </c>
      <c r="EL28" s="254">
        <v>626.11745523</v>
      </c>
      <c r="EM28" s="254">
        <v>644.0907033</v>
      </c>
      <c r="EN28" s="254">
        <v>222.20964075</v>
      </c>
      <c r="EO28" s="254">
        <v>427.65224692000004</v>
      </c>
      <c r="EP28" s="254">
        <v>265.32970788</v>
      </c>
      <c r="EQ28" s="254">
        <v>586.503656</v>
      </c>
      <c r="ER28" s="254">
        <v>839.073838</v>
      </c>
      <c r="ES28" s="254">
        <v>694.306588</v>
      </c>
      <c r="ET28" s="250">
        <f t="shared" si="6"/>
        <v>6367.6376953675</v>
      </c>
      <c r="EU28" s="250">
        <f t="shared" si="7"/>
        <v>6021.956190475001</v>
      </c>
      <c r="EV28" s="250">
        <v>825.296144</v>
      </c>
      <c r="EW28" s="250">
        <v>736.417581</v>
      </c>
      <c r="EX28" s="250">
        <v>333.173531</v>
      </c>
      <c r="EY28" s="250">
        <v>1113.520182</v>
      </c>
      <c r="EZ28" s="250">
        <v>751.361018</v>
      </c>
      <c r="FA28" s="250">
        <v>568.988275</v>
      </c>
      <c r="FB28" s="250">
        <v>914.391308</v>
      </c>
      <c r="FC28" s="250">
        <v>938.222084</v>
      </c>
      <c r="FD28" s="250">
        <v>724.50255</v>
      </c>
      <c r="FE28" s="250">
        <v>753.361401</v>
      </c>
      <c r="FF28" s="250">
        <v>768.302404</v>
      </c>
      <c r="FG28" s="261">
        <v>820.121638</v>
      </c>
      <c r="FH28" s="250">
        <v>751.014588</v>
      </c>
      <c r="FI28" s="250">
        <v>767.743622</v>
      </c>
      <c r="FJ28" s="250">
        <v>840.042705</v>
      </c>
      <c r="FK28" s="250">
        <v>1417.436584</v>
      </c>
      <c r="FL28" s="250">
        <v>913.23578</v>
      </c>
      <c r="FM28" s="250">
        <v>1018.103043</v>
      </c>
      <c r="FN28" s="250">
        <v>596.109521</v>
      </c>
      <c r="FO28" s="250">
        <v>611.960112</v>
      </c>
      <c r="FP28" s="250">
        <v>529.6155</v>
      </c>
      <c r="FQ28" s="250">
        <v>674.412812</v>
      </c>
      <c r="FR28" s="250">
        <v>388.727501</v>
      </c>
      <c r="FS28" s="250">
        <v>317.590059</v>
      </c>
      <c r="FT28" s="250">
        <v>601.553154</v>
      </c>
      <c r="FU28" s="250">
        <v>647.732308</v>
      </c>
      <c r="FV28" s="250">
        <v>642.909303</v>
      </c>
      <c r="FW28" s="250">
        <v>476.939654</v>
      </c>
      <c r="FX28" s="250">
        <v>772.663309</v>
      </c>
      <c r="FY28" s="250">
        <v>842.602304</v>
      </c>
      <c r="FZ28" s="261">
        <v>2961.7662898000003</v>
      </c>
      <c r="GA28" s="250">
        <v>856.686478</v>
      </c>
      <c r="GB28" s="250">
        <v>950.313799</v>
      </c>
      <c r="GC28" s="250">
        <v>1006.746682</v>
      </c>
      <c r="GD28" s="250">
        <v>894.910612</v>
      </c>
      <c r="GE28" s="250">
        <v>1028.681485</v>
      </c>
      <c r="GF28" s="250">
        <v>984.689179</v>
      </c>
      <c r="GG28" s="250">
        <v>1107.784144</v>
      </c>
      <c r="GH28" s="250">
        <v>835.814828</v>
      </c>
      <c r="GI28" s="250">
        <v>0</v>
      </c>
      <c r="GJ28" s="250"/>
      <c r="GK28" s="250"/>
      <c r="GL28" s="250"/>
      <c r="GM28" s="250"/>
      <c r="GN28" s="250"/>
      <c r="GO28" s="250"/>
      <c r="GP28" s="250"/>
      <c r="GQ28" s="250"/>
      <c r="GR28" s="250">
        <f t="shared" si="8"/>
        <v>2369.134419</v>
      </c>
      <c r="GS28" s="250">
        <f t="shared" si="9"/>
        <v>2928.288151</v>
      </c>
    </row>
    <row r="29" spans="1:201" s="84" customFormat="1" ht="15.75">
      <c r="A29" s="74" t="s">
        <v>42</v>
      </c>
      <c r="B29" s="232" t="s">
        <v>43</v>
      </c>
      <c r="C29" s="76">
        <v>21.4</v>
      </c>
      <c r="D29" s="77"/>
      <c r="E29" s="78">
        <v>34.3</v>
      </c>
      <c r="F29" s="79">
        <v>34.7</v>
      </c>
      <c r="G29" s="79">
        <v>115</v>
      </c>
      <c r="H29" s="79">
        <v>203.9</v>
      </c>
      <c r="I29" s="79">
        <v>199.4</v>
      </c>
      <c r="J29" s="76">
        <v>275.4</v>
      </c>
      <c r="K29" s="79">
        <v>182.6</v>
      </c>
      <c r="L29" s="80">
        <v>260.1</v>
      </c>
      <c r="M29" s="81">
        <v>217.5</v>
      </c>
      <c r="N29" s="81">
        <v>351.8</v>
      </c>
      <c r="O29" s="82">
        <v>221</v>
      </c>
      <c r="P29" s="46">
        <v>2916.2</v>
      </c>
      <c r="Q29" s="46">
        <v>755.4</v>
      </c>
      <c r="R29" s="73">
        <v>323.9</v>
      </c>
      <c r="S29" s="73">
        <v>513.7</v>
      </c>
      <c r="T29" s="83">
        <v>1026.5</v>
      </c>
      <c r="U29" s="83">
        <v>2959.7309999999998</v>
      </c>
      <c r="V29" s="73">
        <v>2009.491</v>
      </c>
      <c r="W29" s="73">
        <v>6501.312</v>
      </c>
      <c r="X29" s="229">
        <v>2434.7</v>
      </c>
      <c r="Y29" s="238">
        <f t="shared" si="13"/>
        <v>4185.394848</v>
      </c>
      <c r="Z29" s="253">
        <f t="shared" si="10"/>
        <v>13299.646002000001</v>
      </c>
      <c r="AA29" s="253">
        <v>25863.330678</v>
      </c>
      <c r="AB29" s="253">
        <v>10154.320350517233</v>
      </c>
      <c r="AC29" s="253">
        <v>5453.105980119999</v>
      </c>
      <c r="AD29" s="249">
        <v>4324.70071149</v>
      </c>
      <c r="AE29" s="249">
        <v>5963.0081549999995</v>
      </c>
      <c r="AF29" s="249">
        <v>12376.849748999999</v>
      </c>
      <c r="AG29" s="252">
        <v>56</v>
      </c>
      <c r="AH29" s="258">
        <v>67.1</v>
      </c>
      <c r="AI29" s="258">
        <f>107.55+131.02+21.78+188.18+8.07</f>
        <v>456.6</v>
      </c>
      <c r="AJ29" s="258">
        <f>25.6+0.7</f>
        <v>26.3</v>
      </c>
      <c r="AK29" s="258">
        <v>239.9</v>
      </c>
      <c r="AL29" s="258">
        <v>219.9</v>
      </c>
      <c r="AM29" s="258"/>
      <c r="AN29" s="258">
        <v>134.3</v>
      </c>
      <c r="AO29" s="258">
        <f>105.1+171+211.8</f>
        <v>487.90000000000003</v>
      </c>
      <c r="AP29" s="258">
        <f>171.7+104.5</f>
        <v>276.2</v>
      </c>
      <c r="AQ29" s="257">
        <f>304.67+131.661</f>
        <v>436.331</v>
      </c>
      <c r="AR29" s="257">
        <f>22.4+536.8</f>
        <v>559.1999999999999</v>
      </c>
      <c r="AS29" s="255">
        <f t="shared" si="1"/>
        <v>2959.7309999999998</v>
      </c>
      <c r="AT29" s="252">
        <v>138</v>
      </c>
      <c r="AU29" s="252">
        <v>101.5</v>
      </c>
      <c r="AV29" s="252">
        <v>291.6</v>
      </c>
      <c r="AW29" s="252">
        <v>136.5</v>
      </c>
      <c r="AX29" s="252">
        <v>82</v>
      </c>
      <c r="AY29" s="252">
        <v>72.2</v>
      </c>
      <c r="AZ29" s="252"/>
      <c r="BA29" s="252">
        <v>46.9</v>
      </c>
      <c r="BB29" s="252">
        <v>180</v>
      </c>
      <c r="BC29" s="252">
        <v>84.6</v>
      </c>
      <c r="BD29" s="252">
        <v>391.2</v>
      </c>
      <c r="BE29" s="252">
        <v>484.991</v>
      </c>
      <c r="BF29" s="253">
        <f t="shared" si="0"/>
        <v>2009.491</v>
      </c>
      <c r="BG29" s="252"/>
      <c r="BH29" s="252"/>
      <c r="BI29" s="252">
        <v>577.157</v>
      </c>
      <c r="BJ29" s="252">
        <v>751.37</v>
      </c>
      <c r="BK29" s="252">
        <v>640.901</v>
      </c>
      <c r="BL29" s="252">
        <v>794.837</v>
      </c>
      <c r="BM29" s="252">
        <f>0.077+518.51</f>
        <v>518.587</v>
      </c>
      <c r="BN29" s="252">
        <v>518.46</v>
      </c>
      <c r="BO29" s="252">
        <v>595.4</v>
      </c>
      <c r="BP29" s="252">
        <v>748.8</v>
      </c>
      <c r="BQ29" s="252">
        <v>770.8</v>
      </c>
      <c r="BR29" s="252">
        <f>346.9+238.1</f>
        <v>585</v>
      </c>
      <c r="BS29" s="252">
        <f t="shared" si="2"/>
        <v>6501.312</v>
      </c>
      <c r="BT29" s="253">
        <f t="shared" si="11"/>
        <v>6501.312</v>
      </c>
      <c r="BU29" s="252">
        <v>140</v>
      </c>
      <c r="BV29" s="259">
        <v>326.6</v>
      </c>
      <c r="BW29" s="259">
        <v>377.5</v>
      </c>
      <c r="BX29" s="259">
        <v>267.7</v>
      </c>
      <c r="BY29" s="259"/>
      <c r="BZ29" s="259">
        <v>268.6</v>
      </c>
      <c r="CA29" s="259">
        <v>80.5</v>
      </c>
      <c r="CB29" s="259">
        <v>157.1</v>
      </c>
      <c r="CC29" s="259">
        <f>0.1+36.7</f>
        <v>36.800000000000004</v>
      </c>
      <c r="CD29" s="259">
        <v>138.5</v>
      </c>
      <c r="CE29" s="259">
        <v>486.2</v>
      </c>
      <c r="CF29" s="259">
        <v>155.2</v>
      </c>
      <c r="CG29" s="252">
        <f t="shared" si="3"/>
        <v>2434.7</v>
      </c>
      <c r="CH29" s="259">
        <v>273.07</v>
      </c>
      <c r="CI29" s="252">
        <v>123.8</v>
      </c>
      <c r="CJ29" s="252">
        <v>558.4</v>
      </c>
      <c r="CK29" s="252">
        <v>322.8</v>
      </c>
      <c r="CL29" s="252">
        <f>322.46+0.06</f>
        <v>322.52</v>
      </c>
      <c r="CM29" s="252">
        <v>192.65</v>
      </c>
      <c r="CN29" s="252">
        <v>119.6</v>
      </c>
      <c r="CO29" s="252">
        <v>169.3</v>
      </c>
      <c r="CP29" s="252">
        <v>574.606984</v>
      </c>
      <c r="CQ29" s="252">
        <v>0.747864</v>
      </c>
      <c r="CR29" s="252">
        <v>694.5</v>
      </c>
      <c r="CS29" s="252">
        <v>833.4</v>
      </c>
      <c r="CT29" s="252">
        <f t="shared" si="12"/>
        <v>4185.394848</v>
      </c>
      <c r="CU29" s="252">
        <v>170</v>
      </c>
      <c r="CV29" s="252">
        <v>318.3</v>
      </c>
      <c r="CW29" s="252">
        <v>1263.1</v>
      </c>
      <c r="CX29" s="252">
        <f>0.3+0.1</f>
        <v>0.4</v>
      </c>
      <c r="CY29" s="252">
        <v>830.7</v>
      </c>
      <c r="CZ29" s="252">
        <v>213.9</v>
      </c>
      <c r="DA29" s="252">
        <v>2561.2</v>
      </c>
      <c r="DB29" s="252">
        <v>2298.05</v>
      </c>
      <c r="DC29" s="252">
        <v>1417.78</v>
      </c>
      <c r="DD29" s="252">
        <v>1900.566123</v>
      </c>
      <c r="DE29" s="252">
        <f>+'[1]exports_rubriques'!$G$29</f>
        <v>722.549879</v>
      </c>
      <c r="DF29" s="252">
        <f>0.1+1603</f>
        <v>1603.1</v>
      </c>
      <c r="DG29" s="253">
        <f t="shared" si="14"/>
        <v>13299.646002000001</v>
      </c>
      <c r="DH29" s="252">
        <v>368.036411</v>
      </c>
      <c r="DI29" s="252">
        <v>2871.462583</v>
      </c>
      <c r="DJ29" s="252">
        <v>1263.133154</v>
      </c>
      <c r="DK29" s="252">
        <v>2942.8</v>
      </c>
      <c r="DL29" s="252">
        <v>4524.3</v>
      </c>
      <c r="DM29" s="252">
        <v>1749.1</v>
      </c>
      <c r="DN29" s="252">
        <v>3097.1</v>
      </c>
      <c r="DO29" s="252">
        <v>1808.244913</v>
      </c>
      <c r="DP29" s="252">
        <v>1747.3</v>
      </c>
      <c r="DQ29" s="252">
        <v>2106.604069</v>
      </c>
      <c r="DR29" s="252">
        <f>+SUM('[2]EX1'!$E$41:$E$43)</f>
        <v>2262.749548</v>
      </c>
      <c r="DS29" s="252">
        <v>1122.5</v>
      </c>
      <c r="DT29" s="252">
        <f t="shared" si="4"/>
        <v>25863.330678</v>
      </c>
      <c r="DU29" s="252">
        <v>773.395379</v>
      </c>
      <c r="DV29" s="252">
        <v>649.557374</v>
      </c>
      <c r="DW29" s="252">
        <v>1012.8684360000001</v>
      </c>
      <c r="DX29" s="252">
        <v>837.2024270000001</v>
      </c>
      <c r="DY29" s="252">
        <v>1272.866036560534</v>
      </c>
      <c r="DZ29" s="252">
        <v>829.7450526284</v>
      </c>
      <c r="EA29" s="252">
        <v>1327.8176818770548</v>
      </c>
      <c r="EB29" s="252">
        <v>1422.513904801842</v>
      </c>
      <c r="EC29" s="252">
        <v>944.0002891333002</v>
      </c>
      <c r="ED29" s="252">
        <v>467.753887138835</v>
      </c>
      <c r="EE29" s="252">
        <v>510.81159020204996</v>
      </c>
      <c r="EF29" s="252">
        <v>105.788292175218</v>
      </c>
      <c r="EG29" s="251">
        <f t="shared" si="5"/>
        <v>10154.320350517233</v>
      </c>
      <c r="EH29" s="259">
        <v>0.548</v>
      </c>
      <c r="EI29" s="252"/>
      <c r="EJ29" s="253">
        <v>630.80583098</v>
      </c>
      <c r="EK29" s="253">
        <v>0.15</v>
      </c>
      <c r="EL29" s="257">
        <v>593.21712929</v>
      </c>
      <c r="EM29" s="257">
        <v>648.38336945</v>
      </c>
      <c r="EN29" s="257"/>
      <c r="EO29" s="257"/>
      <c r="EP29" s="257">
        <v>798.8505313999999</v>
      </c>
      <c r="EQ29" s="257">
        <v>729.292154</v>
      </c>
      <c r="ER29" s="257">
        <v>2051.858965</v>
      </c>
      <c r="ES29" s="257"/>
      <c r="ET29" s="250">
        <f t="shared" si="6"/>
        <v>10154.320350517233</v>
      </c>
      <c r="EU29" s="250">
        <f t="shared" si="7"/>
        <v>5453.105980119999</v>
      </c>
      <c r="EV29" s="250">
        <v>1290.217666</v>
      </c>
      <c r="EW29" s="250">
        <v>801.1717800000001</v>
      </c>
      <c r="EX29" s="250">
        <v>452.834513</v>
      </c>
      <c r="EY29" s="250">
        <v>1386.87015</v>
      </c>
      <c r="EZ29" s="250"/>
      <c r="FA29" s="250"/>
      <c r="FB29" s="250">
        <v>386.835481</v>
      </c>
      <c r="FC29" s="250">
        <v>4.345867</v>
      </c>
      <c r="FD29" s="250">
        <v>2.15025449</v>
      </c>
      <c r="FE29" s="250"/>
      <c r="FF29" s="250"/>
      <c r="FG29" s="261">
        <v>0.275</v>
      </c>
      <c r="FH29" s="250">
        <v>0.588956</v>
      </c>
      <c r="FI29" s="250">
        <v>1.66</v>
      </c>
      <c r="FJ29" s="250">
        <v>1.677</v>
      </c>
      <c r="FK29" s="250">
        <v>687.74248</v>
      </c>
      <c r="FL29" s="250">
        <v>6.263403000000011</v>
      </c>
      <c r="FM29" s="250">
        <v>271.559511</v>
      </c>
      <c r="FN29" s="250">
        <v>214.39791300000002</v>
      </c>
      <c r="FO29" s="250">
        <v>1024.602013</v>
      </c>
      <c r="FP29" s="250">
        <v>209.618069</v>
      </c>
      <c r="FQ29" s="250">
        <v>956.524367</v>
      </c>
      <c r="FR29" s="250">
        <v>200.059218</v>
      </c>
      <c r="FS29" s="250">
        <v>2388.3152250000003</v>
      </c>
      <c r="FT29" s="250"/>
      <c r="FU29" s="250">
        <v>1227.43816</v>
      </c>
      <c r="FV29" s="250">
        <v>963.684369</v>
      </c>
      <c r="FW29" s="250">
        <v>864.0574240000001</v>
      </c>
      <c r="FX29" s="250"/>
      <c r="FY29" s="250">
        <v>1172.606338</v>
      </c>
      <c r="FZ29" s="250">
        <v>1250.119933</v>
      </c>
      <c r="GA29" s="250">
        <v>647.6528870000001</v>
      </c>
      <c r="GB29" s="250">
        <v>2571.5637849999994</v>
      </c>
      <c r="GC29" s="250">
        <v>1930.9645189999999</v>
      </c>
      <c r="GD29" s="250">
        <v>3.077</v>
      </c>
      <c r="GE29" s="250">
        <v>1745.6853339999998</v>
      </c>
      <c r="GF29" s="250">
        <v>3607.6624070000003</v>
      </c>
      <c r="GG29" s="250">
        <v>2159.081606</v>
      </c>
      <c r="GH29" s="250">
        <v>625.3928880000001</v>
      </c>
      <c r="GI29" s="250">
        <v>4780.197552</v>
      </c>
      <c r="GJ29" s="250"/>
      <c r="GK29" s="250"/>
      <c r="GL29" s="250"/>
      <c r="GM29" s="250"/>
      <c r="GN29" s="250"/>
      <c r="GO29" s="250"/>
      <c r="GP29" s="250"/>
      <c r="GQ29" s="250"/>
      <c r="GR29" s="250">
        <f t="shared" si="8"/>
        <v>3055.179953</v>
      </c>
      <c r="GS29" s="250">
        <f t="shared" si="9"/>
        <v>11172.334453</v>
      </c>
    </row>
    <row r="30" spans="1:201" s="84" customFormat="1" ht="15.75">
      <c r="A30" s="74" t="s">
        <v>102</v>
      </c>
      <c r="B30" s="232" t="s">
        <v>103</v>
      </c>
      <c r="C30" s="76"/>
      <c r="D30" s="77"/>
      <c r="E30" s="78"/>
      <c r="F30" s="79"/>
      <c r="G30" s="79"/>
      <c r="H30" s="79"/>
      <c r="I30" s="79"/>
      <c r="J30" s="76"/>
      <c r="K30" s="79"/>
      <c r="L30" s="80"/>
      <c r="M30" s="81"/>
      <c r="N30" s="81"/>
      <c r="O30" s="82"/>
      <c r="P30" s="46"/>
      <c r="Q30" s="46"/>
      <c r="R30" s="73"/>
      <c r="S30" s="73"/>
      <c r="T30" s="83"/>
      <c r="U30" s="83"/>
      <c r="V30" s="73"/>
      <c r="W30" s="73"/>
      <c r="X30" s="229"/>
      <c r="Y30" s="238"/>
      <c r="Z30" s="253"/>
      <c r="AA30" s="253"/>
      <c r="AB30" s="253">
        <v>90.27971424</v>
      </c>
      <c r="AC30" s="253">
        <v>26.97605036</v>
      </c>
      <c r="AD30" s="249">
        <v>14.223269000000002</v>
      </c>
      <c r="AE30" s="249">
        <v>542.8113079999999</v>
      </c>
      <c r="AF30" s="249">
        <v>4.636</v>
      </c>
      <c r="AG30" s="252"/>
      <c r="AH30" s="258"/>
      <c r="AI30" s="258"/>
      <c r="AJ30" s="258"/>
      <c r="AK30" s="258"/>
      <c r="AL30" s="258"/>
      <c r="AM30" s="258"/>
      <c r="AN30" s="258"/>
      <c r="AO30" s="258"/>
      <c r="AP30" s="258"/>
      <c r="AQ30" s="257"/>
      <c r="AR30" s="257"/>
      <c r="AS30" s="255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3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3"/>
      <c r="BU30" s="252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2"/>
      <c r="CH30" s="259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3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>
        <v>35.557688</v>
      </c>
      <c r="DX30" s="252">
        <v>0</v>
      </c>
      <c r="DY30" s="252"/>
      <c r="DZ30" s="252"/>
      <c r="EA30" s="252"/>
      <c r="EB30" s="252">
        <v>24.8463232</v>
      </c>
      <c r="EC30" s="252"/>
      <c r="ED30" s="252"/>
      <c r="EE30" s="252"/>
      <c r="EF30" s="252">
        <v>29.875703039999998</v>
      </c>
      <c r="EG30" s="251">
        <f t="shared" si="5"/>
        <v>90.27971424</v>
      </c>
      <c r="EH30" s="259"/>
      <c r="EI30" s="252">
        <v>26.194689359999998</v>
      </c>
      <c r="EJ30" s="253"/>
      <c r="EK30" s="253"/>
      <c r="EL30" s="257"/>
      <c r="EM30" s="257"/>
      <c r="EN30" s="257"/>
      <c r="EO30" s="257"/>
      <c r="EP30" s="257"/>
      <c r="EQ30" s="257"/>
      <c r="ER30" s="257"/>
      <c r="ES30" s="257">
        <v>0.781361</v>
      </c>
      <c r="ET30" s="250">
        <f t="shared" si="6"/>
        <v>90.27971424</v>
      </c>
      <c r="EU30" s="250">
        <f t="shared" si="7"/>
        <v>26.97605036</v>
      </c>
      <c r="EV30" s="250"/>
      <c r="EW30" s="250">
        <v>4.806622</v>
      </c>
      <c r="EX30" s="250">
        <v>4.489149</v>
      </c>
      <c r="EY30" s="250">
        <v>4.467498</v>
      </c>
      <c r="EZ30" s="250">
        <v>0.46</v>
      </c>
      <c r="FA30" s="250"/>
      <c r="FB30" s="250"/>
      <c r="FC30" s="250"/>
      <c r="FD30" s="250"/>
      <c r="FE30" s="250"/>
      <c r="FF30" s="250"/>
      <c r="FG30" s="261">
        <v>0</v>
      </c>
      <c r="FH30" s="250"/>
      <c r="FI30" s="250"/>
      <c r="FJ30" s="250">
        <v>0.05</v>
      </c>
      <c r="FK30" s="250">
        <v>301.146071</v>
      </c>
      <c r="FL30" s="250">
        <v>241.546237</v>
      </c>
      <c r="FM30" s="250"/>
      <c r="FN30" s="250"/>
      <c r="FO30" s="250">
        <v>0.069</v>
      </c>
      <c r="FP30" s="250"/>
      <c r="FQ30" s="250"/>
      <c r="FR30" s="250"/>
      <c r="FS30" s="250"/>
      <c r="FT30" s="250">
        <v>0.302</v>
      </c>
      <c r="FU30" s="250">
        <v>0.075</v>
      </c>
      <c r="FV30" s="250">
        <v>0.54</v>
      </c>
      <c r="FW30" s="250">
        <v>0</v>
      </c>
      <c r="FX30" s="250">
        <v>0.475</v>
      </c>
      <c r="FY30" s="250">
        <v>0</v>
      </c>
      <c r="FZ30" s="250">
        <v>1.165</v>
      </c>
      <c r="GA30" s="250">
        <v>1.18</v>
      </c>
      <c r="GB30" s="250">
        <v>0.405</v>
      </c>
      <c r="GC30" s="250">
        <v>0.134</v>
      </c>
      <c r="GD30" s="250">
        <v>0.18</v>
      </c>
      <c r="GE30" s="250">
        <v>0.18</v>
      </c>
      <c r="GF30" s="250">
        <v>30.062196</v>
      </c>
      <c r="GG30" s="250">
        <v>0</v>
      </c>
      <c r="GH30" s="250">
        <v>36.001276</v>
      </c>
      <c r="GI30" s="250">
        <v>0.05</v>
      </c>
      <c r="GJ30" s="250"/>
      <c r="GK30" s="250"/>
      <c r="GL30" s="250"/>
      <c r="GM30" s="250"/>
      <c r="GN30" s="250"/>
      <c r="GO30" s="250"/>
      <c r="GP30" s="250"/>
      <c r="GQ30" s="250"/>
      <c r="GR30" s="250">
        <f t="shared" si="8"/>
        <v>0.917</v>
      </c>
      <c r="GS30" s="250">
        <f t="shared" si="9"/>
        <v>66.11347199999999</v>
      </c>
    </row>
    <row r="31" spans="1:201" s="84" customFormat="1" ht="15.75">
      <c r="A31" s="293">
        <v>2710113</v>
      </c>
      <c r="B31" s="232" t="s">
        <v>134</v>
      </c>
      <c r="C31" s="76"/>
      <c r="D31" s="77"/>
      <c r="E31" s="78"/>
      <c r="F31" s="79"/>
      <c r="G31" s="79"/>
      <c r="H31" s="79"/>
      <c r="I31" s="79"/>
      <c r="J31" s="76"/>
      <c r="K31" s="79"/>
      <c r="L31" s="80"/>
      <c r="M31" s="81"/>
      <c r="N31" s="81"/>
      <c r="O31" s="82"/>
      <c r="P31" s="46"/>
      <c r="Q31" s="46"/>
      <c r="R31" s="73"/>
      <c r="S31" s="73"/>
      <c r="T31" s="83"/>
      <c r="U31" s="83"/>
      <c r="V31" s="73"/>
      <c r="W31" s="73"/>
      <c r="X31" s="229"/>
      <c r="Y31" s="238"/>
      <c r="Z31" s="253"/>
      <c r="AA31" s="253"/>
      <c r="AB31" s="253"/>
      <c r="AC31" s="253"/>
      <c r="AD31" s="249"/>
      <c r="AE31" s="249"/>
      <c r="AF31" s="249"/>
      <c r="AG31" s="252"/>
      <c r="AH31" s="258"/>
      <c r="AI31" s="258"/>
      <c r="AJ31" s="258"/>
      <c r="AK31" s="258"/>
      <c r="AL31" s="258"/>
      <c r="AM31" s="258"/>
      <c r="AN31" s="258"/>
      <c r="AO31" s="258"/>
      <c r="AP31" s="258"/>
      <c r="AQ31" s="257"/>
      <c r="AR31" s="257"/>
      <c r="AS31" s="255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3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3"/>
      <c r="BU31" s="252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2"/>
      <c r="CH31" s="259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3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1"/>
      <c r="EH31" s="259"/>
      <c r="EI31" s="252"/>
      <c r="EJ31" s="253"/>
      <c r="EK31" s="253"/>
      <c r="EL31" s="257"/>
      <c r="EM31" s="257"/>
      <c r="EN31" s="257"/>
      <c r="EO31" s="257"/>
      <c r="EP31" s="257"/>
      <c r="EQ31" s="257"/>
      <c r="ER31" s="257"/>
      <c r="ES31" s="257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61"/>
      <c r="FH31" s="250"/>
      <c r="FI31" s="250"/>
      <c r="FJ31" s="250"/>
      <c r="FK31" s="250"/>
      <c r="FL31" s="250"/>
      <c r="FM31" s="250"/>
      <c r="FN31" s="250"/>
      <c r="FO31" s="250"/>
      <c r="FP31" s="250"/>
      <c r="FQ31" s="250"/>
      <c r="FR31" s="250"/>
      <c r="FS31" s="250"/>
      <c r="FT31" s="250"/>
      <c r="FU31" s="250"/>
      <c r="FV31" s="250"/>
      <c r="FW31" s="250"/>
      <c r="FX31" s="250"/>
      <c r="FY31" s="250"/>
      <c r="FZ31" s="250"/>
      <c r="GA31" s="250"/>
      <c r="GB31" s="250"/>
      <c r="GC31" s="250"/>
      <c r="GD31" s="250"/>
      <c r="GE31" s="250"/>
      <c r="GF31" s="250">
        <v>352.1532</v>
      </c>
      <c r="GG31" s="250">
        <v>486.53090000000003</v>
      </c>
      <c r="GH31" s="250">
        <v>913.7982000000001</v>
      </c>
      <c r="GI31" s="250">
        <v>861.389</v>
      </c>
      <c r="GJ31" s="250"/>
      <c r="GK31" s="250"/>
      <c r="GL31" s="250"/>
      <c r="GM31" s="250"/>
      <c r="GN31" s="250"/>
      <c r="GO31" s="250"/>
      <c r="GP31" s="250"/>
      <c r="GQ31" s="250"/>
      <c r="GR31" s="250">
        <f t="shared" si="8"/>
        <v>0</v>
      </c>
      <c r="GS31" s="250">
        <f t="shared" si="9"/>
        <v>2613.8713000000002</v>
      </c>
    </row>
    <row r="32" spans="1:201" ht="15.75">
      <c r="A32" s="31" t="s">
        <v>44</v>
      </c>
      <c r="B32" s="61" t="s">
        <v>45</v>
      </c>
      <c r="C32" s="62" t="s">
        <v>14</v>
      </c>
      <c r="D32" s="44"/>
      <c r="E32" s="63">
        <v>1.9</v>
      </c>
      <c r="F32" s="64">
        <v>5.7</v>
      </c>
      <c r="G32" s="64">
        <v>79</v>
      </c>
      <c r="H32" s="64">
        <v>241.1</v>
      </c>
      <c r="I32" s="64">
        <v>352.1</v>
      </c>
      <c r="J32" s="62">
        <v>200.8</v>
      </c>
      <c r="K32" s="64">
        <v>0.3</v>
      </c>
      <c r="L32" s="65">
        <v>4.5</v>
      </c>
      <c r="M32" s="66" t="s">
        <v>14</v>
      </c>
      <c r="N32" s="66" t="s">
        <v>14</v>
      </c>
      <c r="O32" s="67">
        <v>2.1</v>
      </c>
      <c r="P32" s="27">
        <v>0.4</v>
      </c>
      <c r="Q32" s="27">
        <v>4.3</v>
      </c>
      <c r="R32" s="68">
        <v>20.9</v>
      </c>
      <c r="S32" s="68" t="s">
        <v>14</v>
      </c>
      <c r="T32" s="69">
        <v>39.1</v>
      </c>
      <c r="U32" s="69">
        <v>68.49</v>
      </c>
      <c r="V32" s="68">
        <v>42.197</v>
      </c>
      <c r="W32" s="68">
        <v>1079.654</v>
      </c>
      <c r="X32" s="197">
        <v>1570.49</v>
      </c>
      <c r="Y32" s="237">
        <f t="shared" si="13"/>
        <v>1600.671384</v>
      </c>
      <c r="Z32" s="249">
        <f t="shared" si="10"/>
        <v>5231.824876</v>
      </c>
      <c r="AA32" s="249">
        <v>7987.068923</v>
      </c>
      <c r="AB32" s="249">
        <v>12308.994790187597</v>
      </c>
      <c r="AC32" s="249">
        <v>12254.944994364801</v>
      </c>
      <c r="AD32" s="249">
        <v>10647.24224242</v>
      </c>
      <c r="AE32" s="249">
        <v>7053.915368999999</v>
      </c>
      <c r="AF32" s="249">
        <v>2059.8554520000002</v>
      </c>
      <c r="AG32" s="250" t="s">
        <v>14</v>
      </c>
      <c r="AH32" s="263">
        <v>35</v>
      </c>
      <c r="AI32" s="263">
        <v>6.09</v>
      </c>
      <c r="AJ32" s="263"/>
      <c r="AK32" s="263">
        <v>6.1</v>
      </c>
      <c r="AL32" s="263"/>
      <c r="AM32" s="263"/>
      <c r="AN32" s="263">
        <v>5.2</v>
      </c>
      <c r="AO32" s="263">
        <v>4.7</v>
      </c>
      <c r="AP32" s="263"/>
      <c r="AQ32" s="254">
        <v>4.8</v>
      </c>
      <c r="AR32" s="254">
        <v>6.6</v>
      </c>
      <c r="AS32" s="255">
        <f t="shared" si="1"/>
        <v>68.49000000000001</v>
      </c>
      <c r="AT32" s="250">
        <v>4.6</v>
      </c>
      <c r="AU32" s="250"/>
      <c r="AV32" s="250">
        <v>4.2</v>
      </c>
      <c r="AW32" s="250">
        <v>4.2</v>
      </c>
      <c r="AX32" s="250"/>
      <c r="AY32" s="250">
        <v>4.3</v>
      </c>
      <c r="AZ32" s="250">
        <v>3.3</v>
      </c>
      <c r="BA32" s="250">
        <v>7.2</v>
      </c>
      <c r="BB32" s="250">
        <v>3.7</v>
      </c>
      <c r="BC32" s="250">
        <v>3.85</v>
      </c>
      <c r="BD32" s="250"/>
      <c r="BE32" s="250">
        <v>6.847</v>
      </c>
      <c r="BF32" s="249">
        <f t="shared" si="0"/>
        <v>42.197</v>
      </c>
      <c r="BG32" s="250">
        <v>3.456</v>
      </c>
      <c r="BH32" s="250">
        <v>3.483</v>
      </c>
      <c r="BI32" s="250">
        <v>3.619</v>
      </c>
      <c r="BJ32" s="250">
        <v>41.67</v>
      </c>
      <c r="BK32" s="250">
        <v>63.066</v>
      </c>
      <c r="BL32" s="250">
        <v>92.234</v>
      </c>
      <c r="BM32" s="250">
        <v>126.006</v>
      </c>
      <c r="BN32" s="250">
        <v>144.02</v>
      </c>
      <c r="BO32" s="250">
        <v>231</v>
      </c>
      <c r="BP32" s="250">
        <v>84.4</v>
      </c>
      <c r="BQ32" s="250">
        <v>70.3</v>
      </c>
      <c r="BR32" s="250">
        <v>216.4</v>
      </c>
      <c r="BS32" s="250">
        <f t="shared" si="2"/>
        <v>1079.654</v>
      </c>
      <c r="BT32" s="249">
        <f t="shared" si="11"/>
        <v>1079.654</v>
      </c>
      <c r="BU32" s="250">
        <v>143.9</v>
      </c>
      <c r="BV32" s="251">
        <v>40.99</v>
      </c>
      <c r="BW32" s="251">
        <f>27.8+141.8</f>
        <v>169.60000000000002</v>
      </c>
      <c r="BX32" s="251">
        <v>120</v>
      </c>
      <c r="BY32" s="251">
        <v>149.3</v>
      </c>
      <c r="BZ32" s="251">
        <v>55.3</v>
      </c>
      <c r="CA32" s="251">
        <v>251.8</v>
      </c>
      <c r="CB32" s="251">
        <v>129.2</v>
      </c>
      <c r="CC32" s="251">
        <f>30.5+107</f>
        <v>137.5</v>
      </c>
      <c r="CD32" s="251">
        <v>75.5</v>
      </c>
      <c r="CE32" s="251">
        <v>111.8</v>
      </c>
      <c r="CF32" s="251">
        <v>185.6</v>
      </c>
      <c r="CG32" s="250">
        <f>SUM(BU32:CF32)</f>
        <v>1570.4899999999998</v>
      </c>
      <c r="CH32" s="251">
        <v>20.2</v>
      </c>
      <c r="CI32" s="252">
        <v>92.5</v>
      </c>
      <c r="CJ32" s="252">
        <v>102</v>
      </c>
      <c r="CK32" s="252">
        <v>179.3</v>
      </c>
      <c r="CL32" s="252">
        <v>46.31</v>
      </c>
      <c r="CM32" s="252">
        <v>88.54</v>
      </c>
      <c r="CN32" s="252">
        <v>124.385</v>
      </c>
      <c r="CO32" s="252">
        <f>207.9-7.5</f>
        <v>200.4</v>
      </c>
      <c r="CP32" s="252">
        <v>161.608711</v>
      </c>
      <c r="CQ32" s="252">
        <v>117.427673</v>
      </c>
      <c r="CR32" s="252">
        <v>165.5</v>
      </c>
      <c r="CS32" s="252">
        <v>302.5</v>
      </c>
      <c r="CT32" s="252">
        <f t="shared" si="12"/>
        <v>1600.671384</v>
      </c>
      <c r="CU32" s="252">
        <v>350.7</v>
      </c>
      <c r="CV32" s="250">
        <v>307.1</v>
      </c>
      <c r="CW32" s="250">
        <v>405</v>
      </c>
      <c r="CX32" s="250">
        <v>312.3</v>
      </c>
      <c r="CY32" s="250">
        <v>562</v>
      </c>
      <c r="CZ32" s="250">
        <v>561.7</v>
      </c>
      <c r="DA32" s="250">
        <v>348.7</v>
      </c>
      <c r="DB32" s="250">
        <v>437.24</v>
      </c>
      <c r="DC32" s="250">
        <f>524.27+97.74</f>
        <v>622.01</v>
      </c>
      <c r="DD32" s="250">
        <v>396.163592</v>
      </c>
      <c r="DE32" s="250">
        <f>+'[1]exports_rubriques'!$G$30</f>
        <v>632.1112840000001</v>
      </c>
      <c r="DF32" s="250">
        <v>296.8</v>
      </c>
      <c r="DG32" s="253">
        <f t="shared" si="14"/>
        <v>5231.824876</v>
      </c>
      <c r="DH32" s="252">
        <v>551.63128</v>
      </c>
      <c r="DI32" s="252">
        <v>316.826762</v>
      </c>
      <c r="DJ32" s="252">
        <v>435.017201</v>
      </c>
      <c r="DK32" s="252">
        <v>515.6</v>
      </c>
      <c r="DL32" s="252">
        <v>585.56</v>
      </c>
      <c r="DM32" s="252">
        <v>601.2</v>
      </c>
      <c r="DN32" s="252">
        <v>910.5</v>
      </c>
      <c r="DO32" s="252">
        <v>800.318303</v>
      </c>
      <c r="DP32" s="252">
        <v>699.5</v>
      </c>
      <c r="DQ32" s="252">
        <v>961.921787</v>
      </c>
      <c r="DR32" s="252">
        <f>+'[2]EX1'!$E$44+'[2]EX1'!$E$45</f>
        <v>848.99359</v>
      </c>
      <c r="DS32" s="252">
        <v>760</v>
      </c>
      <c r="DT32" s="252">
        <f t="shared" si="4"/>
        <v>7987.068923</v>
      </c>
      <c r="DU32" s="252">
        <v>890.310784</v>
      </c>
      <c r="DV32" s="252">
        <v>1111.456862</v>
      </c>
      <c r="DW32" s="250">
        <v>932.565473</v>
      </c>
      <c r="DX32" s="250">
        <v>896.708249</v>
      </c>
      <c r="DY32" s="250">
        <v>1108.6412308185</v>
      </c>
      <c r="DZ32" s="250">
        <v>857.0775669047001</v>
      </c>
      <c r="EA32" s="250">
        <v>1575.2813191482996</v>
      </c>
      <c r="EB32" s="250">
        <v>1119.1946016185</v>
      </c>
      <c r="EC32" s="250">
        <v>1025.9085320816</v>
      </c>
      <c r="ED32" s="250">
        <v>981.7549504655999</v>
      </c>
      <c r="EE32" s="250">
        <v>977.6395784239</v>
      </c>
      <c r="EF32" s="250">
        <v>832.4556427265</v>
      </c>
      <c r="EG32" s="251">
        <f t="shared" si="5"/>
        <v>12308.994790187597</v>
      </c>
      <c r="EH32" s="251">
        <v>1043.7569887901002</v>
      </c>
      <c r="EI32" s="250">
        <v>1135.0933064847</v>
      </c>
      <c r="EJ32" s="249">
        <v>751.79647087</v>
      </c>
      <c r="EK32" s="249">
        <v>828.0968863300002</v>
      </c>
      <c r="EL32" s="254">
        <v>1071.68631724</v>
      </c>
      <c r="EM32" s="254">
        <v>552.1814485599999</v>
      </c>
      <c r="EN32" s="254">
        <v>962.0253408400001</v>
      </c>
      <c r="EO32" s="254">
        <v>1040.46204212</v>
      </c>
      <c r="EP32" s="254">
        <v>1010.0089231300001</v>
      </c>
      <c r="EQ32" s="254">
        <v>861.557234</v>
      </c>
      <c r="ER32" s="254">
        <v>943.238942</v>
      </c>
      <c r="ES32" s="254">
        <v>2055.041094</v>
      </c>
      <c r="ET32" s="250">
        <f t="shared" si="6"/>
        <v>12308.994790187597</v>
      </c>
      <c r="EU32" s="250">
        <f t="shared" si="7"/>
        <v>12254.944994364801</v>
      </c>
      <c r="EV32" s="250">
        <v>726.196161</v>
      </c>
      <c r="EW32" s="250">
        <v>958.322216</v>
      </c>
      <c r="EX32" s="250">
        <v>1022.740002</v>
      </c>
      <c r="EY32" s="250">
        <v>1146.466521</v>
      </c>
      <c r="EZ32" s="250">
        <v>705.09259</v>
      </c>
      <c r="FA32" s="250">
        <v>1105.187968</v>
      </c>
      <c r="FB32" s="250">
        <v>608.384136</v>
      </c>
      <c r="FC32" s="250">
        <v>978.44584</v>
      </c>
      <c r="FD32" s="250">
        <v>1043.60873142</v>
      </c>
      <c r="FE32" s="250">
        <v>1029.194398</v>
      </c>
      <c r="FF32" s="250">
        <v>540.609234</v>
      </c>
      <c r="FG32" s="261">
        <v>782.994445</v>
      </c>
      <c r="FH32" s="250">
        <v>1005.068635</v>
      </c>
      <c r="FI32" s="250">
        <v>1071.216473</v>
      </c>
      <c r="FJ32" s="250">
        <v>977.067643</v>
      </c>
      <c r="FK32" s="250">
        <v>567.625769</v>
      </c>
      <c r="FL32" s="250">
        <v>551.564243</v>
      </c>
      <c r="FM32" s="250">
        <v>729.83826</v>
      </c>
      <c r="FN32" s="250">
        <v>526.764173</v>
      </c>
      <c r="FO32" s="250">
        <v>555.783365</v>
      </c>
      <c r="FP32" s="250">
        <v>356.386287</v>
      </c>
      <c r="FQ32" s="250">
        <v>281.766074</v>
      </c>
      <c r="FR32" s="250">
        <v>330.199798</v>
      </c>
      <c r="FS32" s="250">
        <v>100.634649</v>
      </c>
      <c r="FT32" s="250">
        <v>222.10218</v>
      </c>
      <c r="FU32" s="250">
        <v>127.540011</v>
      </c>
      <c r="FV32" s="250">
        <v>48.444291</v>
      </c>
      <c r="FW32" s="250">
        <v>102.053038</v>
      </c>
      <c r="FX32" s="250">
        <v>303.302948</v>
      </c>
      <c r="FY32" s="250">
        <v>396.539631</v>
      </c>
      <c r="FZ32" s="250">
        <v>94.85112</v>
      </c>
      <c r="GA32" s="250">
        <v>294.318513</v>
      </c>
      <c r="GB32" s="250">
        <v>229.885999</v>
      </c>
      <c r="GC32" s="250">
        <v>7.9375</v>
      </c>
      <c r="GD32" s="250">
        <v>98.465976</v>
      </c>
      <c r="GE32" s="250">
        <v>134.414245</v>
      </c>
      <c r="GF32" s="250">
        <v>126.068011</v>
      </c>
      <c r="GG32" s="250">
        <v>112.521368</v>
      </c>
      <c r="GH32" s="250">
        <v>80.348474</v>
      </c>
      <c r="GI32" s="250">
        <v>82.449095</v>
      </c>
      <c r="GJ32" s="250"/>
      <c r="GK32" s="250"/>
      <c r="GL32" s="250"/>
      <c r="GM32" s="250"/>
      <c r="GN32" s="250"/>
      <c r="GO32" s="250"/>
      <c r="GP32" s="250"/>
      <c r="GQ32" s="250"/>
      <c r="GR32" s="250">
        <f t="shared" si="8"/>
        <v>500.13952000000006</v>
      </c>
      <c r="GS32" s="250">
        <f t="shared" si="9"/>
        <v>401.386948</v>
      </c>
    </row>
    <row r="33" spans="1:201" ht="15.75">
      <c r="A33" s="31" t="s">
        <v>90</v>
      </c>
      <c r="B33" s="61" t="s">
        <v>46</v>
      </c>
      <c r="C33" s="62">
        <v>295.5</v>
      </c>
      <c r="D33" s="44"/>
      <c r="E33" s="63">
        <v>649.4</v>
      </c>
      <c r="F33" s="64">
        <v>433.5</v>
      </c>
      <c r="G33" s="64">
        <v>338.6</v>
      </c>
      <c r="H33" s="64">
        <v>206.4</v>
      </c>
      <c r="I33" s="64">
        <v>597.2</v>
      </c>
      <c r="J33" s="62">
        <v>525.2</v>
      </c>
      <c r="K33" s="64">
        <v>215.9</v>
      </c>
      <c r="L33" s="65">
        <v>44.8</v>
      </c>
      <c r="M33" s="66">
        <v>32.1</v>
      </c>
      <c r="N33" s="66">
        <v>76.8</v>
      </c>
      <c r="O33" s="67">
        <v>88.8</v>
      </c>
      <c r="P33" s="27">
        <v>47.4</v>
      </c>
      <c r="Q33" s="27">
        <v>26.1</v>
      </c>
      <c r="R33" s="68">
        <v>48</v>
      </c>
      <c r="S33" s="68">
        <v>284.8</v>
      </c>
      <c r="T33" s="69">
        <v>458.7</v>
      </c>
      <c r="U33" s="69">
        <v>1574.284</v>
      </c>
      <c r="V33" s="68">
        <v>3823.59</v>
      </c>
      <c r="W33" s="68">
        <v>3704.6970000000006</v>
      </c>
      <c r="X33" s="197">
        <v>2335</v>
      </c>
      <c r="Y33" s="237">
        <f t="shared" si="13"/>
        <v>3994.588055</v>
      </c>
      <c r="Z33" s="249">
        <f t="shared" si="10"/>
        <v>7714.921333000001</v>
      </c>
      <c r="AA33" s="249">
        <v>9552.362932</v>
      </c>
      <c r="AB33" s="249">
        <v>3991.4866347347997</v>
      </c>
      <c r="AC33" s="249">
        <v>6040.545513737801</v>
      </c>
      <c r="AD33" s="249">
        <v>7848.36307205</v>
      </c>
      <c r="AE33" s="249">
        <v>1773.547001</v>
      </c>
      <c r="AF33" s="249">
        <v>959.396219</v>
      </c>
      <c r="AG33" s="250">
        <v>40.2</v>
      </c>
      <c r="AH33" s="263">
        <v>40.6</v>
      </c>
      <c r="AI33" s="263">
        <v>81.3</v>
      </c>
      <c r="AJ33" s="263">
        <v>24.8</v>
      </c>
      <c r="AK33" s="263">
        <v>121</v>
      </c>
      <c r="AL33" s="263">
        <f>1.1+1.1+12.8+2.2+62.2</f>
        <v>79.4</v>
      </c>
      <c r="AM33" s="263">
        <v>4.9</v>
      </c>
      <c r="AN33" s="263">
        <v>96.2</v>
      </c>
      <c r="AO33" s="263">
        <v>256.4</v>
      </c>
      <c r="AP33" s="263">
        <f>84.4+231.2</f>
        <v>315.6</v>
      </c>
      <c r="AQ33" s="254">
        <v>356.484</v>
      </c>
      <c r="AR33" s="254">
        <v>157.4</v>
      </c>
      <c r="AS33" s="255">
        <f t="shared" si="1"/>
        <v>1574.284</v>
      </c>
      <c r="AT33" s="250">
        <v>386.6</v>
      </c>
      <c r="AU33" s="250">
        <v>118.5</v>
      </c>
      <c r="AV33" s="250">
        <v>393</v>
      </c>
      <c r="AW33" s="250">
        <v>45.7</v>
      </c>
      <c r="AX33" s="250">
        <v>401.6</v>
      </c>
      <c r="AY33" s="250">
        <v>613.3</v>
      </c>
      <c r="AZ33" s="250">
        <v>284.5</v>
      </c>
      <c r="BA33" s="250">
        <v>343.3</v>
      </c>
      <c r="BB33" s="250">
        <v>114.1</v>
      </c>
      <c r="BC33" s="250">
        <v>264.46</v>
      </c>
      <c r="BD33" s="250">
        <v>615.1</v>
      </c>
      <c r="BE33" s="250">
        <v>243.43</v>
      </c>
      <c r="BF33" s="249">
        <f t="shared" si="0"/>
        <v>3823.5899999999997</v>
      </c>
      <c r="BG33" s="250">
        <v>344.1</v>
      </c>
      <c r="BH33" s="250">
        <v>155.931</v>
      </c>
      <c r="BI33" s="250">
        <v>418.442</v>
      </c>
      <c r="BJ33" s="250">
        <v>782.285</v>
      </c>
      <c r="BK33" s="250">
        <v>410.156</v>
      </c>
      <c r="BL33" s="250">
        <v>528.065</v>
      </c>
      <c r="BM33" s="250">
        <f>95.336+152.542</f>
        <v>247.878</v>
      </c>
      <c r="BN33" s="250">
        <v>233.18</v>
      </c>
      <c r="BO33" s="250">
        <v>290.8</v>
      </c>
      <c r="BP33" s="250">
        <v>130.3</v>
      </c>
      <c r="BQ33" s="250">
        <v>69.46</v>
      </c>
      <c r="BR33" s="250">
        <v>94.1</v>
      </c>
      <c r="BS33" s="250">
        <f t="shared" si="2"/>
        <v>3704.6970000000006</v>
      </c>
      <c r="BT33" s="249">
        <f t="shared" si="11"/>
        <v>3704.6970000000006</v>
      </c>
      <c r="BU33" s="250">
        <v>284.1</v>
      </c>
      <c r="BV33" s="251" t="s">
        <v>14</v>
      </c>
      <c r="BW33" s="251">
        <v>243.3</v>
      </c>
      <c r="BX33" s="251">
        <v>142.1</v>
      </c>
      <c r="BY33" s="251">
        <v>43.6</v>
      </c>
      <c r="BZ33" s="251">
        <v>431.6</v>
      </c>
      <c r="CA33" s="251">
        <v>147</v>
      </c>
      <c r="CB33" s="251">
        <v>120</v>
      </c>
      <c r="CC33" s="251">
        <f>54.8+144.2+53.2+97.7+8.9+31</f>
        <v>389.79999999999995</v>
      </c>
      <c r="CD33" s="251">
        <v>15.1</v>
      </c>
      <c r="CE33" s="251">
        <v>327.7</v>
      </c>
      <c r="CF33" s="251">
        <v>190.7</v>
      </c>
      <c r="CG33" s="250">
        <f t="shared" si="3"/>
        <v>2335</v>
      </c>
      <c r="CH33" s="251">
        <v>144.8</v>
      </c>
      <c r="CI33" s="252">
        <v>535.1</v>
      </c>
      <c r="CJ33" s="252">
        <v>275.9</v>
      </c>
      <c r="CK33" s="252">
        <v>270.7</v>
      </c>
      <c r="CL33" s="252">
        <f>171.85+11.87</f>
        <v>183.72</v>
      </c>
      <c r="CM33" s="252">
        <v>354.61</v>
      </c>
      <c r="CN33" s="252">
        <v>276.4</v>
      </c>
      <c r="CO33" s="252">
        <v>470.3</v>
      </c>
      <c r="CP33" s="252">
        <v>195.177139</v>
      </c>
      <c r="CQ33" s="252">
        <v>235.82091599999998</v>
      </c>
      <c r="CR33" s="252">
        <v>271.1</v>
      </c>
      <c r="CS33" s="252">
        <v>780.96</v>
      </c>
      <c r="CT33" s="252">
        <f t="shared" si="12"/>
        <v>3994.588055</v>
      </c>
      <c r="CU33" s="252">
        <v>133.1</v>
      </c>
      <c r="CV33" s="250">
        <v>772.2</v>
      </c>
      <c r="CW33" s="250">
        <v>409.8</v>
      </c>
      <c r="CX33" s="250">
        <v>598.2</v>
      </c>
      <c r="CY33" s="250">
        <v>563.8</v>
      </c>
      <c r="CZ33" s="250">
        <v>347.2</v>
      </c>
      <c r="DA33" s="250">
        <v>609.9</v>
      </c>
      <c r="DB33" s="250">
        <v>751.36</v>
      </c>
      <c r="DC33" s="250">
        <v>1109.56</v>
      </c>
      <c r="DD33" s="250">
        <v>847.001049</v>
      </c>
      <c r="DE33" s="250">
        <f>+'[1]exports_rubriques'!$G$34</f>
        <v>562.000284</v>
      </c>
      <c r="DF33" s="250">
        <v>1010.8</v>
      </c>
      <c r="DG33" s="253">
        <f t="shared" si="14"/>
        <v>7714.921333000001</v>
      </c>
      <c r="DH33" s="252">
        <v>855.202244</v>
      </c>
      <c r="DI33" s="252">
        <v>1070.415165</v>
      </c>
      <c r="DJ33" s="252">
        <v>409.772714</v>
      </c>
      <c r="DK33" s="252">
        <v>932.9</v>
      </c>
      <c r="DL33" s="252">
        <v>933.259</v>
      </c>
      <c r="DM33" s="252">
        <v>901.2</v>
      </c>
      <c r="DN33" s="252">
        <v>968.6</v>
      </c>
      <c r="DO33" s="252">
        <v>899.059444</v>
      </c>
      <c r="DP33" s="252">
        <v>746.8</v>
      </c>
      <c r="DQ33" s="252">
        <v>304.375559</v>
      </c>
      <c r="DR33" s="252">
        <f>+'[2]EX1'!$E$48+'[2]EX1'!$E$49+'[2]EX1'!$E$50</f>
        <v>739.278806</v>
      </c>
      <c r="DS33" s="252">
        <v>791.5</v>
      </c>
      <c r="DT33" s="252">
        <f t="shared" si="4"/>
        <v>9552.362932</v>
      </c>
      <c r="DU33" s="252">
        <v>501.61632</v>
      </c>
      <c r="DV33" s="252">
        <v>380.806263</v>
      </c>
      <c r="DW33" s="250">
        <v>89.279688</v>
      </c>
      <c r="DX33" s="250">
        <v>322.617205</v>
      </c>
      <c r="DY33" s="250">
        <v>379.3300606100001</v>
      </c>
      <c r="DZ33" s="250">
        <v>17.43603839</v>
      </c>
      <c r="EA33" s="250">
        <v>332.683347732</v>
      </c>
      <c r="EB33" s="250">
        <v>378.1531636603001</v>
      </c>
      <c r="EC33" s="250">
        <v>409.54770320000006</v>
      </c>
      <c r="ED33" s="250">
        <v>744.4616461375</v>
      </c>
      <c r="EE33" s="250">
        <v>172.8036959245</v>
      </c>
      <c r="EF33" s="250">
        <v>262.75150308049996</v>
      </c>
      <c r="EG33" s="251">
        <f t="shared" si="5"/>
        <v>3991.4866347347997</v>
      </c>
      <c r="EH33" s="251">
        <v>724.4761948522001</v>
      </c>
      <c r="EI33" s="250">
        <v>84.20980343559997</v>
      </c>
      <c r="EJ33" s="249">
        <v>663.37378685</v>
      </c>
      <c r="EK33" s="249">
        <v>595.67084494</v>
      </c>
      <c r="EL33" s="254">
        <v>397.19635535</v>
      </c>
      <c r="EM33" s="254">
        <v>485.63479187</v>
      </c>
      <c r="EN33" s="254">
        <v>602.4484803400001</v>
      </c>
      <c r="EO33" s="254">
        <v>998.1159846900002</v>
      </c>
      <c r="EP33" s="254">
        <v>424.02226441000005</v>
      </c>
      <c r="EQ33" s="254">
        <v>513.705074</v>
      </c>
      <c r="ER33" s="254">
        <v>146.877038</v>
      </c>
      <c r="ES33" s="254">
        <v>404.814895</v>
      </c>
      <c r="ET33" s="250">
        <f t="shared" si="6"/>
        <v>3991.4866347347997</v>
      </c>
      <c r="EU33" s="250">
        <f t="shared" si="7"/>
        <v>6040.545513737801</v>
      </c>
      <c r="EV33" s="250">
        <v>461.152058</v>
      </c>
      <c r="EW33" s="250">
        <v>459.109352</v>
      </c>
      <c r="EX33" s="250">
        <v>868.36781</v>
      </c>
      <c r="EY33" s="250">
        <v>1011.560917</v>
      </c>
      <c r="EZ33" s="250">
        <v>478.226957</v>
      </c>
      <c r="FA33" s="250">
        <v>975.911662</v>
      </c>
      <c r="FB33" s="250">
        <v>755.656395</v>
      </c>
      <c r="FC33" s="250">
        <v>653.342602</v>
      </c>
      <c r="FD33" s="250">
        <v>865.3754790500001</v>
      </c>
      <c r="FE33" s="250">
        <v>571.71926</v>
      </c>
      <c r="FF33" s="250">
        <v>326.663016</v>
      </c>
      <c r="FG33" s="261">
        <v>421.277564</v>
      </c>
      <c r="FH33" s="250">
        <v>377.964221</v>
      </c>
      <c r="FI33" s="250">
        <v>295.424057</v>
      </c>
      <c r="FJ33" s="250">
        <v>174.81181</v>
      </c>
      <c r="FK33" s="250">
        <v>6.119397</v>
      </c>
      <c r="FL33" s="250">
        <v>115.853184</v>
      </c>
      <c r="FM33" s="250">
        <v>121.181787</v>
      </c>
      <c r="FN33" s="250">
        <v>165.917621</v>
      </c>
      <c r="FO33" s="250">
        <v>39.036246</v>
      </c>
      <c r="FP33" s="250">
        <v>137.448368</v>
      </c>
      <c r="FQ33" s="250">
        <v>117.744534</v>
      </c>
      <c r="FR33" s="250">
        <v>97.293682</v>
      </c>
      <c r="FS33" s="250">
        <v>124.752094</v>
      </c>
      <c r="FT33" s="250">
        <v>34.069939</v>
      </c>
      <c r="FU33" s="250">
        <v>90.902576</v>
      </c>
      <c r="FV33" s="250">
        <v>102.651222</v>
      </c>
      <c r="FW33" s="250">
        <v>118.802058</v>
      </c>
      <c r="FX33" s="250">
        <v>71.781546</v>
      </c>
      <c r="FY33" s="250">
        <v>41.988057</v>
      </c>
      <c r="FZ33" s="250">
        <v>52.092475</v>
      </c>
      <c r="GA33" s="250">
        <v>126.135143</v>
      </c>
      <c r="GB33" s="250">
        <v>175.296998</v>
      </c>
      <c r="GC33" s="250">
        <v>14.885538</v>
      </c>
      <c r="GD33" s="250">
        <v>58.508252</v>
      </c>
      <c r="GE33" s="250">
        <v>72.282415</v>
      </c>
      <c r="GF33" s="250">
        <v>219.080501</v>
      </c>
      <c r="GG33" s="250">
        <v>190.861687</v>
      </c>
      <c r="GH33" s="250">
        <v>249.571517</v>
      </c>
      <c r="GI33" s="250">
        <v>194.462538</v>
      </c>
      <c r="GJ33" s="250"/>
      <c r="GK33" s="250"/>
      <c r="GL33" s="250"/>
      <c r="GM33" s="250"/>
      <c r="GN33" s="250"/>
      <c r="GO33" s="250"/>
      <c r="GP33" s="250"/>
      <c r="GQ33" s="250"/>
      <c r="GR33" s="250">
        <f t="shared" si="8"/>
        <v>346.425795</v>
      </c>
      <c r="GS33" s="250">
        <f t="shared" si="9"/>
        <v>853.976243</v>
      </c>
    </row>
    <row r="34" spans="1:201" ht="15.75">
      <c r="A34" s="31" t="s">
        <v>47</v>
      </c>
      <c r="B34" s="61" t="s">
        <v>48</v>
      </c>
      <c r="C34" s="62">
        <v>3.7</v>
      </c>
      <c r="D34" s="44"/>
      <c r="E34" s="63">
        <v>8.9</v>
      </c>
      <c r="F34" s="64">
        <v>2.1</v>
      </c>
      <c r="G34" s="64">
        <v>6</v>
      </c>
      <c r="H34" s="64">
        <v>1.9</v>
      </c>
      <c r="I34" s="64">
        <v>10.7</v>
      </c>
      <c r="J34" s="62">
        <v>27.3</v>
      </c>
      <c r="K34" s="64">
        <v>11.2</v>
      </c>
      <c r="L34" s="65">
        <v>5.6</v>
      </c>
      <c r="M34" s="66" t="s">
        <v>14</v>
      </c>
      <c r="N34" s="66" t="s">
        <v>14</v>
      </c>
      <c r="O34" s="67">
        <v>17.7</v>
      </c>
      <c r="P34" s="27">
        <v>1.9</v>
      </c>
      <c r="Q34" s="27">
        <v>3.9</v>
      </c>
      <c r="R34" s="68">
        <v>12.3</v>
      </c>
      <c r="S34" s="68">
        <v>9.7</v>
      </c>
      <c r="T34" s="69">
        <v>2.1</v>
      </c>
      <c r="U34" s="69">
        <v>4.5</v>
      </c>
      <c r="V34" s="68">
        <v>1.388</v>
      </c>
      <c r="W34" s="68">
        <v>2.253</v>
      </c>
      <c r="X34" s="197">
        <v>139.9</v>
      </c>
      <c r="Y34" s="237">
        <f t="shared" si="13"/>
        <v>44.99685</v>
      </c>
      <c r="Z34" s="249">
        <f t="shared" si="10"/>
        <v>21.409089</v>
      </c>
      <c r="AA34" s="249">
        <v>131.838462</v>
      </c>
      <c r="AB34" s="249">
        <v>19.0753440298</v>
      </c>
      <c r="AC34" s="249">
        <v>26.6128249</v>
      </c>
      <c r="AD34" s="249">
        <v>334.90742600000004</v>
      </c>
      <c r="AE34" s="249">
        <v>164.88545</v>
      </c>
      <c r="AF34" s="249">
        <v>18.590035</v>
      </c>
      <c r="AG34" s="250" t="s">
        <v>14</v>
      </c>
      <c r="AH34" s="263"/>
      <c r="AI34" s="254"/>
      <c r="AJ34" s="254">
        <v>1.2</v>
      </c>
      <c r="AK34" s="263"/>
      <c r="AL34" s="254">
        <f>0.3+1.5</f>
        <v>1.8</v>
      </c>
      <c r="AM34" s="263">
        <v>1.1</v>
      </c>
      <c r="AN34" s="263">
        <v>0</v>
      </c>
      <c r="AO34" s="254"/>
      <c r="AP34" s="263">
        <v>0</v>
      </c>
      <c r="AQ34" s="254"/>
      <c r="AR34" s="254">
        <v>0.4</v>
      </c>
      <c r="AS34" s="255">
        <f t="shared" si="1"/>
        <v>4.5</v>
      </c>
      <c r="AT34" s="250"/>
      <c r="AU34" s="250"/>
      <c r="AV34" s="250"/>
      <c r="AW34" s="250"/>
      <c r="AX34" s="250">
        <v>1</v>
      </c>
      <c r="AY34" s="250"/>
      <c r="AZ34" s="250"/>
      <c r="BA34" s="250"/>
      <c r="BB34" s="250">
        <v>0.388</v>
      </c>
      <c r="BC34" s="250"/>
      <c r="BD34" s="250"/>
      <c r="BE34" s="250"/>
      <c r="BF34" s="249">
        <f t="shared" si="0"/>
        <v>1.388</v>
      </c>
      <c r="BG34" s="250"/>
      <c r="BH34" s="250"/>
      <c r="BI34" s="250"/>
      <c r="BJ34" s="250">
        <v>1.203</v>
      </c>
      <c r="BK34" s="250"/>
      <c r="BL34" s="250"/>
      <c r="BM34" s="250"/>
      <c r="BN34" s="250">
        <v>0.35</v>
      </c>
      <c r="BO34" s="250"/>
      <c r="BP34" s="250">
        <v>0.7</v>
      </c>
      <c r="BQ34" s="250">
        <v>0</v>
      </c>
      <c r="BR34" s="250">
        <v>0</v>
      </c>
      <c r="BS34" s="250">
        <f t="shared" si="2"/>
        <v>2.253</v>
      </c>
      <c r="BT34" s="249">
        <f t="shared" si="11"/>
        <v>2.253</v>
      </c>
      <c r="BU34" s="250">
        <v>12.7</v>
      </c>
      <c r="BV34" s="250" t="s">
        <v>14</v>
      </c>
      <c r="BW34" s="251"/>
      <c r="BX34" s="251">
        <f>1.5+1.9</f>
        <v>3.4</v>
      </c>
      <c r="BY34" s="251">
        <v>2.9</v>
      </c>
      <c r="BZ34" s="251">
        <v>7.2</v>
      </c>
      <c r="CA34" s="251">
        <v>8.4</v>
      </c>
      <c r="CB34" s="251">
        <v>8.5</v>
      </c>
      <c r="CC34" s="251">
        <f>4+15.5</f>
        <v>19.5</v>
      </c>
      <c r="CD34" s="251">
        <v>69.5</v>
      </c>
      <c r="CE34" s="251">
        <v>1.5</v>
      </c>
      <c r="CF34" s="251">
        <v>6.3</v>
      </c>
      <c r="CG34" s="250">
        <f t="shared" si="3"/>
        <v>139.9</v>
      </c>
      <c r="CH34" s="250" t="s">
        <v>14</v>
      </c>
      <c r="CI34" s="252"/>
      <c r="CJ34" s="252">
        <v>0</v>
      </c>
      <c r="CK34" s="252">
        <v>2.6</v>
      </c>
      <c r="CL34" s="252">
        <v>0</v>
      </c>
      <c r="CM34" s="252">
        <v>0</v>
      </c>
      <c r="CN34" s="252">
        <v>0</v>
      </c>
      <c r="CO34" s="252">
        <v>0.7</v>
      </c>
      <c r="CP34" s="252">
        <v>0.5</v>
      </c>
      <c r="CQ34" s="252">
        <v>8.74685</v>
      </c>
      <c r="CR34" s="252"/>
      <c r="CS34" s="252">
        <v>32.45</v>
      </c>
      <c r="CT34" s="252">
        <f t="shared" si="12"/>
        <v>44.99685</v>
      </c>
      <c r="CU34" s="249" t="s">
        <v>14</v>
      </c>
      <c r="CV34" s="252">
        <v>4.4</v>
      </c>
      <c r="CW34" s="252"/>
      <c r="CX34" s="252"/>
      <c r="CY34" s="252">
        <v>0.1</v>
      </c>
      <c r="CZ34" s="252">
        <v>1</v>
      </c>
      <c r="DA34" s="252">
        <v>1.9</v>
      </c>
      <c r="DB34" s="252">
        <v>2.55</v>
      </c>
      <c r="DC34" s="252">
        <v>0</v>
      </c>
      <c r="DD34" s="252">
        <v>2.688293</v>
      </c>
      <c r="DE34" s="252">
        <f>+'[1]exports_rubriques'!$G$38</f>
        <v>0.470796</v>
      </c>
      <c r="DF34" s="252">
        <v>8.3</v>
      </c>
      <c r="DG34" s="253">
        <f t="shared" si="14"/>
        <v>21.409089</v>
      </c>
      <c r="DH34" s="252">
        <v>7.375</v>
      </c>
      <c r="DI34" s="252">
        <v>7.983731</v>
      </c>
      <c r="DJ34" s="252">
        <v>0</v>
      </c>
      <c r="DK34" s="252">
        <v>3.1</v>
      </c>
      <c r="DL34" s="252">
        <v>24.67</v>
      </c>
      <c r="DM34" s="252">
        <v>0.9</v>
      </c>
      <c r="DN34" s="252">
        <v>5</v>
      </c>
      <c r="DO34" s="252">
        <v>0.5549999999999999</v>
      </c>
      <c r="DP34" s="252">
        <v>3.5</v>
      </c>
      <c r="DQ34" s="252">
        <v>0.475</v>
      </c>
      <c r="DR34" s="252">
        <f>+'[2]EX1'!$E$51+'[2]EX1'!$E$52+'[2]EX1'!$E$53+'[2]EX1'!$E$54</f>
        <v>51.579730999999995</v>
      </c>
      <c r="DS34" s="252">
        <v>26.7</v>
      </c>
      <c r="DT34" s="252">
        <f t="shared" si="4"/>
        <v>131.838462</v>
      </c>
      <c r="DU34" s="252"/>
      <c r="DV34" s="252"/>
      <c r="DW34" s="250">
        <v>2.586288</v>
      </c>
      <c r="DX34" s="250">
        <v>2.492</v>
      </c>
      <c r="DY34" s="250">
        <v>1.954267</v>
      </c>
      <c r="DZ34" s="250">
        <v>0.39</v>
      </c>
      <c r="EA34" s="250">
        <v>0.57</v>
      </c>
      <c r="EB34" s="250">
        <v>1.23264</v>
      </c>
      <c r="EC34" s="250">
        <v>1.17</v>
      </c>
      <c r="ED34" s="250">
        <v>6.8651490297999995</v>
      </c>
      <c r="EE34" s="250">
        <v>1.07</v>
      </c>
      <c r="EF34" s="250">
        <v>0.745</v>
      </c>
      <c r="EG34" s="251">
        <f t="shared" si="5"/>
        <v>19.0753440298</v>
      </c>
      <c r="EH34" s="251">
        <v>0.275</v>
      </c>
      <c r="EI34" s="250">
        <v>1.87734</v>
      </c>
      <c r="EJ34" s="249">
        <v>0.9</v>
      </c>
      <c r="EK34" s="249">
        <v>2.11293996</v>
      </c>
      <c r="EL34" s="254">
        <v>1.34743725</v>
      </c>
      <c r="EM34" s="254">
        <v>3.18166732</v>
      </c>
      <c r="EN34" s="254">
        <v>1.99</v>
      </c>
      <c r="EO34" s="254">
        <v>0.81</v>
      </c>
      <c r="EP34" s="254">
        <v>1.69904337</v>
      </c>
      <c r="EQ34" s="254">
        <v>3.791871</v>
      </c>
      <c r="ER34" s="254">
        <v>2.140024</v>
      </c>
      <c r="ES34" s="254">
        <v>6.487502</v>
      </c>
      <c r="ET34" s="250">
        <f t="shared" si="6"/>
        <v>19.0753440298</v>
      </c>
      <c r="EU34" s="250">
        <f t="shared" si="7"/>
        <v>26.6128249</v>
      </c>
      <c r="EV34" s="250">
        <v>0.35</v>
      </c>
      <c r="EW34" s="250">
        <v>0.498367</v>
      </c>
      <c r="EX34" s="250">
        <v>0.99</v>
      </c>
      <c r="EY34" s="250">
        <v>1.028</v>
      </c>
      <c r="EZ34" s="250">
        <v>2.67</v>
      </c>
      <c r="FA34" s="250">
        <v>5.476485</v>
      </c>
      <c r="FB34" s="250">
        <v>1.878</v>
      </c>
      <c r="FC34" s="250">
        <v>3.038</v>
      </c>
      <c r="FD34" s="250">
        <v>281.126956</v>
      </c>
      <c r="FE34" s="250">
        <v>8.86</v>
      </c>
      <c r="FF34" s="250">
        <v>9.591947</v>
      </c>
      <c r="FG34" s="261">
        <v>19.399671</v>
      </c>
      <c r="FH34" s="250">
        <v>58.405253</v>
      </c>
      <c r="FI34" s="250">
        <v>21.453471</v>
      </c>
      <c r="FJ34" s="250">
        <v>23.224331</v>
      </c>
      <c r="FK34" s="250">
        <v>2.015506</v>
      </c>
      <c r="FL34" s="250">
        <v>9.98</v>
      </c>
      <c r="FM34" s="250">
        <v>4.682505</v>
      </c>
      <c r="FN34" s="250">
        <v>13.505931</v>
      </c>
      <c r="FO34" s="250">
        <v>11.712801</v>
      </c>
      <c r="FP34" s="250">
        <v>6.049614</v>
      </c>
      <c r="FQ34" s="250">
        <v>4.272222</v>
      </c>
      <c r="FR34" s="250">
        <v>4.060083</v>
      </c>
      <c r="FS34" s="250">
        <v>5.523733</v>
      </c>
      <c r="FT34" s="250">
        <v>2.39588</v>
      </c>
      <c r="FU34" s="250">
        <v>1.96474</v>
      </c>
      <c r="FV34" s="250">
        <v>2.276057</v>
      </c>
      <c r="FW34" s="250">
        <v>2.167469</v>
      </c>
      <c r="FX34" s="250">
        <v>3.570169</v>
      </c>
      <c r="FY34" s="250">
        <v>1.027402</v>
      </c>
      <c r="FZ34" s="250">
        <v>0.15</v>
      </c>
      <c r="GA34" s="250">
        <v>0.6</v>
      </c>
      <c r="GB34" s="250">
        <v>1.613818</v>
      </c>
      <c r="GC34" s="250">
        <v>0.118</v>
      </c>
      <c r="GD34" s="250">
        <v>2.3585</v>
      </c>
      <c r="GE34" s="250">
        <v>0.348</v>
      </c>
      <c r="GF34" s="250">
        <v>3.38</v>
      </c>
      <c r="GG34" s="250">
        <v>0</v>
      </c>
      <c r="GH34" s="250">
        <v>0</v>
      </c>
      <c r="GI34" s="250">
        <v>0</v>
      </c>
      <c r="GJ34" s="250"/>
      <c r="GK34" s="250"/>
      <c r="GL34" s="250"/>
      <c r="GM34" s="250"/>
      <c r="GN34" s="250"/>
      <c r="GO34" s="250"/>
      <c r="GP34" s="250"/>
      <c r="GQ34" s="250"/>
      <c r="GR34" s="250">
        <f t="shared" si="8"/>
        <v>8.804146000000001</v>
      </c>
      <c r="GS34" s="250">
        <f t="shared" si="9"/>
        <v>3.38</v>
      </c>
    </row>
    <row r="35" spans="1:201" ht="15.75">
      <c r="A35" s="31" t="s">
        <v>89</v>
      </c>
      <c r="B35" s="61" t="s">
        <v>92</v>
      </c>
      <c r="C35" s="62"/>
      <c r="D35" s="44"/>
      <c r="E35" s="63"/>
      <c r="F35" s="64"/>
      <c r="G35" s="64"/>
      <c r="H35" s="64"/>
      <c r="I35" s="64"/>
      <c r="J35" s="62"/>
      <c r="K35" s="64"/>
      <c r="L35" s="65"/>
      <c r="M35" s="66"/>
      <c r="N35" s="66"/>
      <c r="O35" s="67"/>
      <c r="P35" s="27"/>
      <c r="Q35" s="28" t="s">
        <v>14</v>
      </c>
      <c r="R35" s="68" t="s">
        <v>14</v>
      </c>
      <c r="S35" s="69" t="s">
        <v>14</v>
      </c>
      <c r="T35" s="69">
        <v>1919.4</v>
      </c>
      <c r="U35" s="69"/>
      <c r="V35" s="68">
        <v>1470.107</v>
      </c>
      <c r="W35" s="68">
        <v>1216.329819</v>
      </c>
      <c r="X35" s="197">
        <v>2344.3</v>
      </c>
      <c r="Y35" s="237">
        <f t="shared" si="13"/>
        <v>1870.8000000000002</v>
      </c>
      <c r="Z35" s="249">
        <f t="shared" si="10"/>
        <v>482.26</v>
      </c>
      <c r="AA35" s="249" t="s">
        <v>14</v>
      </c>
      <c r="AB35" s="249">
        <v>2182.71221185039</v>
      </c>
      <c r="AC35" s="249">
        <v>208.344414036</v>
      </c>
      <c r="AD35" s="249">
        <v>91.233251</v>
      </c>
      <c r="AE35" s="249">
        <v>70.391391</v>
      </c>
      <c r="AF35" s="249">
        <v>4.58</v>
      </c>
      <c r="AG35" s="250"/>
      <c r="AH35" s="263"/>
      <c r="AI35" s="254"/>
      <c r="AJ35" s="254"/>
      <c r="AK35" s="263"/>
      <c r="AL35" s="254"/>
      <c r="AM35" s="263"/>
      <c r="AN35" s="263"/>
      <c r="AO35" s="254"/>
      <c r="AP35" s="263"/>
      <c r="AQ35" s="254"/>
      <c r="AR35" s="254"/>
      <c r="AS35" s="255"/>
      <c r="AT35" s="250"/>
      <c r="AU35" s="250"/>
      <c r="AV35" s="250"/>
      <c r="AW35" s="250"/>
      <c r="AX35" s="250"/>
      <c r="AY35" s="250"/>
      <c r="AZ35" s="250"/>
      <c r="BA35" s="250"/>
      <c r="BB35" s="250">
        <v>36.1</v>
      </c>
      <c r="BC35" s="250">
        <v>1322.9</v>
      </c>
      <c r="BD35" s="250">
        <v>37.45</v>
      </c>
      <c r="BE35" s="250">
        <v>73.657</v>
      </c>
      <c r="BF35" s="249">
        <f t="shared" si="0"/>
        <v>1470.107</v>
      </c>
      <c r="BG35" s="250"/>
      <c r="BH35" s="250">
        <v>31.275</v>
      </c>
      <c r="BI35" s="250"/>
      <c r="BJ35" s="250"/>
      <c r="BK35" s="250"/>
      <c r="BL35" s="250"/>
      <c r="BM35" s="254"/>
      <c r="BN35" s="266">
        <v>1010.454819</v>
      </c>
      <c r="BO35" s="266">
        <v>174.6</v>
      </c>
      <c r="BP35" s="266">
        <v>0</v>
      </c>
      <c r="BQ35" s="266">
        <v>0</v>
      </c>
      <c r="BR35" s="250">
        <v>0</v>
      </c>
      <c r="BS35" s="250">
        <f t="shared" si="2"/>
        <v>1216.329819</v>
      </c>
      <c r="BT35" s="249">
        <f t="shared" si="11"/>
        <v>1216.329819</v>
      </c>
      <c r="BU35" s="250" t="s">
        <v>14</v>
      </c>
      <c r="BV35" s="250">
        <v>903.6</v>
      </c>
      <c r="BW35" s="251"/>
      <c r="BX35" s="251"/>
      <c r="BY35" s="251"/>
      <c r="BZ35" s="251">
        <v>0</v>
      </c>
      <c r="CA35" s="251"/>
      <c r="CB35" s="251">
        <v>1370.2</v>
      </c>
      <c r="CC35" s="251">
        <v>70.5</v>
      </c>
      <c r="CD35" s="251">
        <v>0</v>
      </c>
      <c r="CE35" s="251">
        <v>0</v>
      </c>
      <c r="CF35" s="251"/>
      <c r="CG35" s="250">
        <f t="shared" si="3"/>
        <v>2344.3</v>
      </c>
      <c r="CH35" s="250" t="s">
        <v>14</v>
      </c>
      <c r="CI35" s="252"/>
      <c r="CJ35" s="252">
        <v>0</v>
      </c>
      <c r="CK35" s="252">
        <v>0</v>
      </c>
      <c r="CL35" s="252">
        <v>0</v>
      </c>
      <c r="CM35" s="252">
        <v>0</v>
      </c>
      <c r="CN35" s="252">
        <v>1827.9</v>
      </c>
      <c r="CO35" s="252">
        <v>42.9</v>
      </c>
      <c r="CP35" s="252">
        <v>0</v>
      </c>
      <c r="CQ35" s="252">
        <v>0</v>
      </c>
      <c r="CR35" s="252"/>
      <c r="CS35" s="252">
        <v>0</v>
      </c>
      <c r="CT35" s="252">
        <f t="shared" si="12"/>
        <v>1870.8000000000002</v>
      </c>
      <c r="CU35" s="249" t="s">
        <v>14</v>
      </c>
      <c r="CV35" s="249">
        <v>62.9</v>
      </c>
      <c r="CW35" s="249" t="s">
        <v>14</v>
      </c>
      <c r="CX35" s="249" t="s">
        <v>14</v>
      </c>
      <c r="CY35" s="249" t="s">
        <v>14</v>
      </c>
      <c r="CZ35" s="249" t="s">
        <v>14</v>
      </c>
      <c r="DA35" s="249" t="s">
        <v>14</v>
      </c>
      <c r="DB35" s="249">
        <v>419.36</v>
      </c>
      <c r="DC35" s="249" t="s">
        <v>14</v>
      </c>
      <c r="DD35" s="249" t="s">
        <v>14</v>
      </c>
      <c r="DE35" s="249" t="s">
        <v>14</v>
      </c>
      <c r="DF35" s="249" t="s">
        <v>14</v>
      </c>
      <c r="DG35" s="253">
        <f t="shared" si="14"/>
        <v>482.26</v>
      </c>
      <c r="DH35" s="250" t="s">
        <v>14</v>
      </c>
      <c r="DI35" s="250" t="s">
        <v>14</v>
      </c>
      <c r="DJ35" s="250">
        <v>0</v>
      </c>
      <c r="DK35" s="250">
        <v>0</v>
      </c>
      <c r="DL35" s="250"/>
      <c r="DM35" s="250"/>
      <c r="DN35" s="250"/>
      <c r="DO35" s="250">
        <v>0</v>
      </c>
      <c r="DP35" s="250"/>
      <c r="DQ35" s="250">
        <v>0</v>
      </c>
      <c r="DR35" s="250">
        <v>0</v>
      </c>
      <c r="DS35" s="250">
        <v>0</v>
      </c>
      <c r="DT35" s="252">
        <f t="shared" si="4"/>
        <v>0</v>
      </c>
      <c r="DU35" s="252"/>
      <c r="DV35" s="252"/>
      <c r="DW35" s="250"/>
      <c r="DX35" s="250"/>
      <c r="DY35" s="250">
        <v>1.0071</v>
      </c>
      <c r="DZ35" s="250"/>
      <c r="EA35" s="250"/>
      <c r="EB35" s="250"/>
      <c r="EC35" s="250"/>
      <c r="ED35" s="250">
        <v>2056.659391068</v>
      </c>
      <c r="EE35" s="250">
        <v>55.559970316</v>
      </c>
      <c r="EF35" s="250">
        <v>69.48575046639</v>
      </c>
      <c r="EG35" s="251">
        <f t="shared" si="5"/>
        <v>2182.71221185039</v>
      </c>
      <c r="EH35" s="251"/>
      <c r="EI35" s="250">
        <v>36.209976946000005</v>
      </c>
      <c r="EJ35" s="249">
        <v>68.72362641</v>
      </c>
      <c r="EK35" s="249"/>
      <c r="EL35" s="254">
        <v>58.06527168</v>
      </c>
      <c r="EM35" s="254"/>
      <c r="EN35" s="254"/>
      <c r="EO35" s="254"/>
      <c r="EP35" s="254"/>
      <c r="EQ35" s="254"/>
      <c r="ER35" s="254"/>
      <c r="ES35" s="254">
        <v>45.345539</v>
      </c>
      <c r="ET35" s="250">
        <f t="shared" si="6"/>
        <v>2182.71221185039</v>
      </c>
      <c r="EU35" s="250">
        <f t="shared" si="7"/>
        <v>208.344414036</v>
      </c>
      <c r="EV35" s="250"/>
      <c r="EW35" s="250"/>
      <c r="EX35" s="250">
        <v>45.430546</v>
      </c>
      <c r="EY35" s="250"/>
      <c r="EZ35" s="250"/>
      <c r="FA35" s="250"/>
      <c r="FB35" s="250">
        <v>45.802705</v>
      </c>
      <c r="FC35" s="250"/>
      <c r="FD35" s="250"/>
      <c r="FE35" s="250"/>
      <c r="FF35" s="250"/>
      <c r="FG35" s="261">
        <v>0</v>
      </c>
      <c r="FH35" s="250">
        <v>23.15597</v>
      </c>
      <c r="FI35" s="250"/>
      <c r="FJ35" s="250"/>
      <c r="FK35" s="250"/>
      <c r="FL35" s="250"/>
      <c r="FM35" s="250"/>
      <c r="FN35" s="250">
        <v>47.235421</v>
      </c>
      <c r="FO35" s="250"/>
      <c r="FP35" s="250"/>
      <c r="FQ35" s="250"/>
      <c r="FR35" s="250"/>
      <c r="FS35" s="250">
        <v>0</v>
      </c>
      <c r="FT35" s="250">
        <v>2.08</v>
      </c>
      <c r="FU35" s="250"/>
      <c r="FV35" s="250"/>
      <c r="FW35" s="250">
        <v>0</v>
      </c>
      <c r="FX35" s="250">
        <v>0.6</v>
      </c>
      <c r="FY35" s="250">
        <v>0</v>
      </c>
      <c r="FZ35" s="250"/>
      <c r="GA35" s="250">
        <v>0.9</v>
      </c>
      <c r="GB35" s="250"/>
      <c r="GC35" s="250"/>
      <c r="GD35" s="250">
        <v>1</v>
      </c>
      <c r="GE35" s="250"/>
      <c r="GF35" s="250">
        <v>0.54</v>
      </c>
      <c r="GG35" s="250">
        <v>11.04</v>
      </c>
      <c r="GH35" s="250">
        <v>0</v>
      </c>
      <c r="GI35" s="250">
        <v>0.54</v>
      </c>
      <c r="GJ35" s="250"/>
      <c r="GK35" s="250"/>
      <c r="GL35" s="250"/>
      <c r="GM35" s="250"/>
      <c r="GN35" s="250"/>
      <c r="GO35" s="250"/>
      <c r="GP35" s="250"/>
      <c r="GQ35" s="250"/>
      <c r="GR35" s="250">
        <f t="shared" si="8"/>
        <v>2.08</v>
      </c>
      <c r="GS35" s="250">
        <f t="shared" si="9"/>
        <v>12.119999999999997</v>
      </c>
    </row>
    <row r="36" spans="1:201" ht="15" customHeight="1">
      <c r="A36" s="31" t="s">
        <v>69</v>
      </c>
      <c r="B36" s="61" t="s">
        <v>49</v>
      </c>
      <c r="C36" s="62">
        <v>265.2</v>
      </c>
      <c r="D36" s="44"/>
      <c r="E36" s="63">
        <v>19.6</v>
      </c>
      <c r="F36" s="64">
        <v>243.7</v>
      </c>
      <c r="G36" s="64">
        <v>358.9</v>
      </c>
      <c r="H36" s="64">
        <v>597.3</v>
      </c>
      <c r="I36" s="64">
        <v>255</v>
      </c>
      <c r="J36" s="62">
        <v>2.2</v>
      </c>
      <c r="K36" s="64">
        <v>7.4</v>
      </c>
      <c r="L36" s="65">
        <v>37.5</v>
      </c>
      <c r="M36" s="66" t="s">
        <v>14</v>
      </c>
      <c r="N36" s="66" t="s">
        <v>14</v>
      </c>
      <c r="O36" s="67">
        <v>21.3</v>
      </c>
      <c r="P36" s="27" t="s">
        <v>14</v>
      </c>
      <c r="Q36" s="28" t="s">
        <v>14</v>
      </c>
      <c r="R36" s="68">
        <v>29.6</v>
      </c>
      <c r="S36" s="68">
        <v>102.1</v>
      </c>
      <c r="T36" s="69">
        <v>189.5</v>
      </c>
      <c r="U36" s="69">
        <v>143.99</v>
      </c>
      <c r="V36" s="68">
        <v>9.5</v>
      </c>
      <c r="W36" s="69" t="s">
        <v>14</v>
      </c>
      <c r="X36" s="197">
        <v>14.6</v>
      </c>
      <c r="Y36" s="237" t="s">
        <v>14</v>
      </c>
      <c r="Z36" s="249" t="s">
        <v>14</v>
      </c>
      <c r="AA36" s="249" t="s">
        <v>14</v>
      </c>
      <c r="AB36" s="249">
        <v>491.73591889600004</v>
      </c>
      <c r="AC36" s="249">
        <v>72.68583966</v>
      </c>
      <c r="AD36" s="249">
        <v>0</v>
      </c>
      <c r="AE36" s="249">
        <v>34.436683</v>
      </c>
      <c r="AF36" s="249">
        <v>16.759227000000003</v>
      </c>
      <c r="AG36" s="250">
        <v>10</v>
      </c>
      <c r="AH36" s="263">
        <v>1.5</v>
      </c>
      <c r="AI36" s="263">
        <f>12.26+10.65+25.48</f>
        <v>48.39</v>
      </c>
      <c r="AJ36" s="263">
        <v>14.5</v>
      </c>
      <c r="AK36" s="263"/>
      <c r="AL36" s="263">
        <v>10.4</v>
      </c>
      <c r="AM36" s="263"/>
      <c r="AN36" s="263">
        <v>0</v>
      </c>
      <c r="AO36" s="254">
        <v>46.5</v>
      </c>
      <c r="AP36" s="263">
        <v>7.9</v>
      </c>
      <c r="AQ36" s="254">
        <v>4.8</v>
      </c>
      <c r="AR36" s="265"/>
      <c r="AS36" s="255">
        <f t="shared" si="1"/>
        <v>143.99000000000004</v>
      </c>
      <c r="AT36" s="250"/>
      <c r="AU36" s="250">
        <v>8.3</v>
      </c>
      <c r="AV36" s="250"/>
      <c r="AW36" s="250"/>
      <c r="AX36" s="250"/>
      <c r="AY36" s="250"/>
      <c r="AZ36" s="250"/>
      <c r="BA36" s="250"/>
      <c r="BB36" s="250"/>
      <c r="BC36" s="250"/>
      <c r="BD36" s="250">
        <v>1.2</v>
      </c>
      <c r="BE36" s="250"/>
      <c r="BF36" s="249">
        <f t="shared" si="0"/>
        <v>9.5</v>
      </c>
      <c r="BG36" s="250"/>
      <c r="BH36" s="250"/>
      <c r="BI36" s="250"/>
      <c r="BJ36" s="250"/>
      <c r="BK36" s="250"/>
      <c r="BL36" s="250"/>
      <c r="BM36" s="250"/>
      <c r="BN36" s="250"/>
      <c r="BO36" s="250"/>
      <c r="BP36" s="250">
        <v>0</v>
      </c>
      <c r="BQ36" s="250">
        <v>0</v>
      </c>
      <c r="BR36" s="250">
        <v>0</v>
      </c>
      <c r="BS36" s="250">
        <f t="shared" si="2"/>
        <v>0</v>
      </c>
      <c r="BT36" s="249" t="s">
        <v>14</v>
      </c>
      <c r="BU36" s="250" t="s">
        <v>14</v>
      </c>
      <c r="BV36" s="250">
        <v>2.1</v>
      </c>
      <c r="BW36" s="251">
        <v>2.2</v>
      </c>
      <c r="BX36" s="251"/>
      <c r="BY36" s="251"/>
      <c r="BZ36" s="251">
        <v>7.1</v>
      </c>
      <c r="CA36" s="251">
        <v>3.2</v>
      </c>
      <c r="CB36" s="251"/>
      <c r="CC36" s="251"/>
      <c r="CD36" s="251">
        <v>0</v>
      </c>
      <c r="CE36" s="251">
        <v>0</v>
      </c>
      <c r="CF36" s="251"/>
      <c r="CG36" s="250">
        <f t="shared" si="3"/>
        <v>14.600000000000001</v>
      </c>
      <c r="CH36" s="250" t="s">
        <v>14</v>
      </c>
      <c r="CI36" s="252"/>
      <c r="CJ36" s="252">
        <v>0</v>
      </c>
      <c r="CK36" s="252">
        <v>0</v>
      </c>
      <c r="CL36" s="252">
        <v>0</v>
      </c>
      <c r="CM36" s="252">
        <v>0</v>
      </c>
      <c r="CN36" s="252">
        <v>0</v>
      </c>
      <c r="CO36" s="252">
        <v>0</v>
      </c>
      <c r="CP36" s="252">
        <v>0</v>
      </c>
      <c r="CQ36" s="252">
        <v>0</v>
      </c>
      <c r="CR36" s="252"/>
      <c r="CS36" s="252">
        <v>0</v>
      </c>
      <c r="CT36" s="250" t="s">
        <v>14</v>
      </c>
      <c r="CU36" s="249" t="s">
        <v>14</v>
      </c>
      <c r="CV36" s="249" t="s">
        <v>14</v>
      </c>
      <c r="CW36" s="249" t="s">
        <v>14</v>
      </c>
      <c r="CX36" s="249" t="s">
        <v>14</v>
      </c>
      <c r="CY36" s="249" t="s">
        <v>14</v>
      </c>
      <c r="CZ36" s="249" t="s">
        <v>14</v>
      </c>
      <c r="DA36" s="249" t="s">
        <v>14</v>
      </c>
      <c r="DB36" s="249" t="s">
        <v>14</v>
      </c>
      <c r="DC36" s="249" t="s">
        <v>14</v>
      </c>
      <c r="DD36" s="249" t="s">
        <v>14</v>
      </c>
      <c r="DE36" s="249" t="s">
        <v>14</v>
      </c>
      <c r="DF36" s="249" t="s">
        <v>14</v>
      </c>
      <c r="DG36" s="253" t="s">
        <v>14</v>
      </c>
      <c r="DH36" s="250" t="s">
        <v>14</v>
      </c>
      <c r="DI36" s="250" t="s">
        <v>14</v>
      </c>
      <c r="DJ36" s="250">
        <v>0</v>
      </c>
      <c r="DK36" s="250">
        <v>0</v>
      </c>
      <c r="DL36" s="250"/>
      <c r="DM36" s="250"/>
      <c r="DN36" s="250"/>
      <c r="DO36" s="250">
        <v>0</v>
      </c>
      <c r="DP36" s="250"/>
      <c r="DQ36" s="250">
        <v>0</v>
      </c>
      <c r="DR36" s="250">
        <v>0</v>
      </c>
      <c r="DS36" s="250">
        <v>0</v>
      </c>
      <c r="DT36" s="252">
        <f t="shared" si="4"/>
        <v>0</v>
      </c>
      <c r="DU36" s="252"/>
      <c r="DV36" s="252"/>
      <c r="DW36" s="250"/>
      <c r="DX36" s="250"/>
      <c r="DY36" s="250">
        <v>0.018468</v>
      </c>
      <c r="DZ36" s="250"/>
      <c r="EA36" s="250"/>
      <c r="EB36" s="250"/>
      <c r="EC36" s="250">
        <v>2.063866</v>
      </c>
      <c r="ED36" s="250"/>
      <c r="EE36" s="250"/>
      <c r="EF36" s="250">
        <v>489.65358489600004</v>
      </c>
      <c r="EG36" s="251">
        <f t="shared" si="5"/>
        <v>491.73591889600004</v>
      </c>
      <c r="EH36" s="251"/>
      <c r="EI36" s="250"/>
      <c r="EJ36" s="249"/>
      <c r="EK36" s="249"/>
      <c r="EL36" s="254">
        <v>5.0000963</v>
      </c>
      <c r="EM36" s="254">
        <v>4.0067973199999996</v>
      </c>
      <c r="EN36" s="254"/>
      <c r="EO36" s="254">
        <v>36.74226204</v>
      </c>
      <c r="EP36" s="254"/>
      <c r="EQ36" s="254"/>
      <c r="ER36" s="254">
        <v>26.936684</v>
      </c>
      <c r="ES36" s="254"/>
      <c r="ET36" s="250">
        <f t="shared" si="6"/>
        <v>491.73591889600004</v>
      </c>
      <c r="EU36" s="250">
        <f t="shared" si="7"/>
        <v>72.68583966</v>
      </c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61">
        <v>0</v>
      </c>
      <c r="FH36" s="250"/>
      <c r="FI36" s="250"/>
      <c r="FJ36" s="250"/>
      <c r="FK36" s="250"/>
      <c r="FL36" s="250"/>
      <c r="FM36" s="250"/>
      <c r="FN36" s="250"/>
      <c r="FO36" s="250">
        <v>0.426965</v>
      </c>
      <c r="FP36" s="250"/>
      <c r="FQ36" s="250"/>
      <c r="FR36" s="250"/>
      <c r="FS36" s="250">
        <v>34.009718</v>
      </c>
      <c r="FT36" s="250"/>
      <c r="FU36" s="250">
        <v>0.256738</v>
      </c>
      <c r="FV36" s="250"/>
      <c r="FW36" s="250">
        <v>0</v>
      </c>
      <c r="FX36" s="250"/>
      <c r="FY36" s="250">
        <v>9.116158</v>
      </c>
      <c r="FZ36" s="250">
        <v>7.296823</v>
      </c>
      <c r="GA36" s="250"/>
      <c r="GB36" s="250">
        <v>0.087948</v>
      </c>
      <c r="GC36" s="250"/>
      <c r="GD36" s="250"/>
      <c r="GE36" s="250">
        <v>0.00156</v>
      </c>
      <c r="GF36" s="250">
        <v>0.213</v>
      </c>
      <c r="GG36" s="250">
        <v>0</v>
      </c>
      <c r="GH36" s="250">
        <v>0</v>
      </c>
      <c r="GI36" s="250">
        <v>0.945379</v>
      </c>
      <c r="GJ36" s="250"/>
      <c r="GK36" s="250"/>
      <c r="GL36" s="250"/>
      <c r="GM36" s="250"/>
      <c r="GN36" s="250"/>
      <c r="GO36" s="250"/>
      <c r="GP36" s="250"/>
      <c r="GQ36" s="250"/>
      <c r="GR36" s="250">
        <f t="shared" si="8"/>
        <v>0.256738</v>
      </c>
      <c r="GS36" s="250">
        <f t="shared" si="9"/>
        <v>1.158379</v>
      </c>
    </row>
    <row r="37" spans="1:201" ht="15.75">
      <c r="A37" s="31" t="s">
        <v>50</v>
      </c>
      <c r="B37" s="61" t="s">
        <v>51</v>
      </c>
      <c r="C37" s="62">
        <v>36</v>
      </c>
      <c r="D37" s="44"/>
      <c r="E37" s="63">
        <v>6.2</v>
      </c>
      <c r="F37" s="64">
        <v>9</v>
      </c>
      <c r="G37" s="64">
        <v>5.4</v>
      </c>
      <c r="H37" s="64">
        <v>6.8</v>
      </c>
      <c r="I37" s="64" t="s">
        <v>14</v>
      </c>
      <c r="J37" s="62" t="s">
        <v>14</v>
      </c>
      <c r="K37" s="64" t="s">
        <v>14</v>
      </c>
      <c r="L37" s="65">
        <v>3.5</v>
      </c>
      <c r="M37" s="66">
        <v>36</v>
      </c>
      <c r="N37" s="66">
        <v>17.4</v>
      </c>
      <c r="O37" s="67">
        <v>52.3</v>
      </c>
      <c r="P37" s="27">
        <v>17.7</v>
      </c>
      <c r="Q37" s="27">
        <v>12.7</v>
      </c>
      <c r="R37" s="68">
        <v>0.2</v>
      </c>
      <c r="S37" s="68">
        <v>0</v>
      </c>
      <c r="T37" s="68">
        <v>0</v>
      </c>
      <c r="U37" s="68" t="s">
        <v>14</v>
      </c>
      <c r="V37" s="68">
        <v>0</v>
      </c>
      <c r="W37" s="68">
        <v>0</v>
      </c>
      <c r="X37" s="197">
        <v>0</v>
      </c>
      <c r="Y37" s="237" t="s">
        <v>14</v>
      </c>
      <c r="Z37" s="250" t="s">
        <v>14</v>
      </c>
      <c r="AA37" s="250" t="s">
        <v>14</v>
      </c>
      <c r="AB37" s="249">
        <v>0</v>
      </c>
      <c r="AC37" s="249">
        <v>0</v>
      </c>
      <c r="AD37" s="249">
        <v>0</v>
      </c>
      <c r="AE37" s="249">
        <v>0</v>
      </c>
      <c r="AF37" s="249">
        <v>0</v>
      </c>
      <c r="AG37" s="250" t="s">
        <v>14</v>
      </c>
      <c r="AH37" s="250" t="s">
        <v>14</v>
      </c>
      <c r="AI37" s="250" t="s">
        <v>14</v>
      </c>
      <c r="AJ37" s="250" t="s">
        <v>14</v>
      </c>
      <c r="AK37" s="250" t="s">
        <v>14</v>
      </c>
      <c r="AL37" s="250" t="s">
        <v>14</v>
      </c>
      <c r="AM37" s="250" t="s">
        <v>14</v>
      </c>
      <c r="AN37" s="250" t="s">
        <v>14</v>
      </c>
      <c r="AO37" s="250" t="s">
        <v>14</v>
      </c>
      <c r="AP37" s="250" t="s">
        <v>14</v>
      </c>
      <c r="AQ37" s="250" t="s">
        <v>14</v>
      </c>
      <c r="AR37" s="250" t="s">
        <v>14</v>
      </c>
      <c r="AS37" s="250" t="s">
        <v>14</v>
      </c>
      <c r="AT37" s="250" t="s">
        <v>14</v>
      </c>
      <c r="AU37" s="250" t="s">
        <v>14</v>
      </c>
      <c r="AV37" s="250" t="s">
        <v>14</v>
      </c>
      <c r="AW37" s="250" t="s">
        <v>14</v>
      </c>
      <c r="AX37" s="250" t="s">
        <v>14</v>
      </c>
      <c r="AY37" s="250" t="s">
        <v>14</v>
      </c>
      <c r="AZ37" s="250" t="s">
        <v>14</v>
      </c>
      <c r="BA37" s="250" t="s">
        <v>14</v>
      </c>
      <c r="BB37" s="250" t="s">
        <v>14</v>
      </c>
      <c r="BC37" s="250" t="s">
        <v>14</v>
      </c>
      <c r="BD37" s="250" t="s">
        <v>14</v>
      </c>
      <c r="BE37" s="250" t="s">
        <v>14</v>
      </c>
      <c r="BF37" s="249">
        <f t="shared" si="0"/>
        <v>0</v>
      </c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>
        <v>0</v>
      </c>
      <c r="BS37" s="250">
        <f t="shared" si="2"/>
        <v>0</v>
      </c>
      <c r="BT37" s="249">
        <f t="shared" si="11"/>
        <v>0</v>
      </c>
      <c r="BU37" s="250" t="s">
        <v>14</v>
      </c>
      <c r="BV37" s="250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0">
        <f t="shared" si="3"/>
        <v>0</v>
      </c>
      <c r="CH37" s="251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>
        <v>0</v>
      </c>
      <c r="CT37" s="252">
        <f t="shared" si="12"/>
        <v>0</v>
      </c>
      <c r="CU37" s="249" t="s">
        <v>14</v>
      </c>
      <c r="CV37" s="249" t="s">
        <v>14</v>
      </c>
      <c r="CW37" s="249" t="s">
        <v>14</v>
      </c>
      <c r="CX37" s="249" t="s">
        <v>14</v>
      </c>
      <c r="CY37" s="249" t="s">
        <v>14</v>
      </c>
      <c r="CZ37" s="249" t="s">
        <v>14</v>
      </c>
      <c r="DA37" s="249" t="s">
        <v>14</v>
      </c>
      <c r="DB37" s="249" t="s">
        <v>14</v>
      </c>
      <c r="DC37" s="249" t="s">
        <v>14</v>
      </c>
      <c r="DD37" s="249" t="s">
        <v>14</v>
      </c>
      <c r="DE37" s="249" t="s">
        <v>14</v>
      </c>
      <c r="DF37" s="249" t="s">
        <v>14</v>
      </c>
      <c r="DG37" s="253">
        <f t="shared" si="14"/>
        <v>0</v>
      </c>
      <c r="DH37" s="250" t="s">
        <v>14</v>
      </c>
      <c r="DI37" s="250" t="s">
        <v>14</v>
      </c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2">
        <f t="shared" si="4"/>
        <v>0</v>
      </c>
      <c r="DU37" s="252"/>
      <c r="DV37" s="252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1">
        <f t="shared" si="5"/>
        <v>0</v>
      </c>
      <c r="EH37" s="251"/>
      <c r="EI37" s="250"/>
      <c r="EJ37" s="249"/>
      <c r="EK37" s="249"/>
      <c r="EL37" s="254"/>
      <c r="EM37" s="254"/>
      <c r="EN37" s="254"/>
      <c r="EO37" s="254"/>
      <c r="EP37" s="254"/>
      <c r="EQ37" s="254"/>
      <c r="ER37" s="254"/>
      <c r="ES37" s="254"/>
      <c r="ET37" s="250">
        <f t="shared" si="6"/>
        <v>0</v>
      </c>
      <c r="EU37" s="250">
        <f t="shared" si="7"/>
        <v>0</v>
      </c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61">
        <v>0</v>
      </c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>
        <v>0</v>
      </c>
      <c r="FX37" s="250"/>
      <c r="FY37" s="250">
        <v>0</v>
      </c>
      <c r="FZ37" s="250"/>
      <c r="GA37" s="250"/>
      <c r="GB37" s="250"/>
      <c r="GC37" s="250"/>
      <c r="GD37" s="250"/>
      <c r="GE37" s="250"/>
      <c r="GF37" s="250"/>
      <c r="GG37" s="250">
        <v>0</v>
      </c>
      <c r="GH37" s="250">
        <v>0</v>
      </c>
      <c r="GI37" s="250">
        <v>0</v>
      </c>
      <c r="GJ37" s="250"/>
      <c r="GK37" s="250"/>
      <c r="GL37" s="250"/>
      <c r="GM37" s="250"/>
      <c r="GN37" s="250"/>
      <c r="GO37" s="250"/>
      <c r="GP37" s="250"/>
      <c r="GQ37" s="250"/>
      <c r="GR37" s="250">
        <f t="shared" si="8"/>
        <v>0</v>
      </c>
      <c r="GS37" s="250">
        <f t="shared" si="9"/>
        <v>0</v>
      </c>
    </row>
    <row r="38" spans="1:201" ht="13.5" customHeight="1">
      <c r="A38" s="91" t="s">
        <v>124</v>
      </c>
      <c r="B38" s="61" t="s">
        <v>52</v>
      </c>
      <c r="C38" s="62">
        <v>325</v>
      </c>
      <c r="D38" s="44"/>
      <c r="E38" s="63">
        <v>297.9</v>
      </c>
      <c r="F38" s="64">
        <v>182.3</v>
      </c>
      <c r="G38" s="64">
        <v>529</v>
      </c>
      <c r="H38" s="64">
        <v>434.6</v>
      </c>
      <c r="I38" s="64">
        <v>90.7</v>
      </c>
      <c r="J38" s="62">
        <v>268.1</v>
      </c>
      <c r="K38" s="64">
        <v>148.8</v>
      </c>
      <c r="L38" s="65">
        <v>21</v>
      </c>
      <c r="M38" s="66" t="s">
        <v>14</v>
      </c>
      <c r="N38" s="66" t="s">
        <v>14</v>
      </c>
      <c r="O38" s="68" t="s">
        <v>14</v>
      </c>
      <c r="P38" s="27">
        <v>14</v>
      </c>
      <c r="Q38" s="28" t="s">
        <v>14</v>
      </c>
      <c r="R38" s="68" t="s">
        <v>14</v>
      </c>
      <c r="S38" s="68">
        <v>43.8</v>
      </c>
      <c r="T38" s="69">
        <v>3</v>
      </c>
      <c r="U38" s="69">
        <v>21</v>
      </c>
      <c r="V38" s="68">
        <v>0.64</v>
      </c>
      <c r="W38" s="69" t="s">
        <v>14</v>
      </c>
      <c r="X38" s="197">
        <v>0.05</v>
      </c>
      <c r="Y38" s="237">
        <f t="shared" si="13"/>
        <v>8.1</v>
      </c>
      <c r="Z38" s="249" t="s">
        <v>14</v>
      </c>
      <c r="AA38" s="249">
        <v>1016.0771589999999</v>
      </c>
      <c r="AB38" s="249">
        <v>46.285348578000004</v>
      </c>
      <c r="AC38" s="249">
        <v>691.62377649385</v>
      </c>
      <c r="AD38" s="249">
        <v>490.8207603</v>
      </c>
      <c r="AE38" s="249">
        <v>660.0401439999999</v>
      </c>
      <c r="AF38" s="249">
        <v>7225.304446</v>
      </c>
      <c r="AG38" s="250" t="s">
        <v>14</v>
      </c>
      <c r="AH38" s="263"/>
      <c r="AI38" s="254"/>
      <c r="AJ38" s="254"/>
      <c r="AK38" s="254"/>
      <c r="AL38" s="254"/>
      <c r="AM38" s="263"/>
      <c r="AN38" s="263">
        <v>21</v>
      </c>
      <c r="AO38" s="263">
        <v>0</v>
      </c>
      <c r="AP38" s="263"/>
      <c r="AQ38" s="263"/>
      <c r="AR38" s="254"/>
      <c r="AS38" s="255">
        <f t="shared" si="1"/>
        <v>21</v>
      </c>
      <c r="AT38" s="250"/>
      <c r="AU38" s="250"/>
      <c r="AV38" s="250"/>
      <c r="AW38" s="250"/>
      <c r="AX38" s="250"/>
      <c r="AY38" s="250"/>
      <c r="AZ38" s="250"/>
      <c r="BA38" s="250"/>
      <c r="BB38" s="250">
        <v>0.64</v>
      </c>
      <c r="BC38" s="250"/>
      <c r="BD38" s="250"/>
      <c r="BE38" s="250"/>
      <c r="BF38" s="249">
        <f t="shared" si="0"/>
        <v>0.64</v>
      </c>
      <c r="BG38" s="250"/>
      <c r="BH38" s="250"/>
      <c r="BI38" s="250"/>
      <c r="BJ38" s="250"/>
      <c r="BK38" s="250"/>
      <c r="BL38" s="250"/>
      <c r="BM38" s="250"/>
      <c r="BN38" s="250"/>
      <c r="BO38" s="250"/>
      <c r="BP38" s="250">
        <v>0</v>
      </c>
      <c r="BQ38" s="250">
        <v>0</v>
      </c>
      <c r="BR38" s="250">
        <v>0</v>
      </c>
      <c r="BS38" s="250">
        <f t="shared" si="2"/>
        <v>0</v>
      </c>
      <c r="BT38" s="249" t="s">
        <v>14</v>
      </c>
      <c r="BU38" s="250" t="s">
        <v>14</v>
      </c>
      <c r="BV38" s="250" t="s">
        <v>14</v>
      </c>
      <c r="BW38" s="250"/>
      <c r="BX38" s="250"/>
      <c r="BY38" s="250">
        <v>0.05</v>
      </c>
      <c r="BZ38" s="251"/>
      <c r="CA38" s="251"/>
      <c r="CB38" s="251"/>
      <c r="CC38" s="251"/>
      <c r="CD38" s="251">
        <v>0</v>
      </c>
      <c r="CE38" s="251">
        <v>0</v>
      </c>
      <c r="CF38" s="251"/>
      <c r="CG38" s="250">
        <f t="shared" si="3"/>
        <v>0.05</v>
      </c>
      <c r="CH38" s="250" t="s">
        <v>14</v>
      </c>
      <c r="CI38" s="252"/>
      <c r="CJ38" s="252">
        <v>0</v>
      </c>
      <c r="CK38" s="252">
        <v>0</v>
      </c>
      <c r="CL38" s="252">
        <v>0</v>
      </c>
      <c r="CM38" s="252">
        <v>0</v>
      </c>
      <c r="CN38" s="252">
        <v>0</v>
      </c>
      <c r="CO38" s="252">
        <v>8.1</v>
      </c>
      <c r="CP38" s="252">
        <v>0</v>
      </c>
      <c r="CQ38" s="252">
        <v>0</v>
      </c>
      <c r="CR38" s="252"/>
      <c r="CS38" s="252">
        <v>0</v>
      </c>
      <c r="CT38" s="252">
        <f t="shared" si="12"/>
        <v>8.1</v>
      </c>
      <c r="CU38" s="249" t="s">
        <v>14</v>
      </c>
      <c r="CV38" s="249" t="s">
        <v>14</v>
      </c>
      <c r="CW38" s="249" t="s">
        <v>14</v>
      </c>
      <c r="CX38" s="249" t="s">
        <v>14</v>
      </c>
      <c r="CY38" s="249" t="s">
        <v>14</v>
      </c>
      <c r="CZ38" s="249" t="s">
        <v>14</v>
      </c>
      <c r="DA38" s="249" t="s">
        <v>14</v>
      </c>
      <c r="DB38" s="249" t="s">
        <v>14</v>
      </c>
      <c r="DC38" s="249" t="s">
        <v>14</v>
      </c>
      <c r="DD38" s="249" t="s">
        <v>14</v>
      </c>
      <c r="DE38" s="249" t="s">
        <v>14</v>
      </c>
      <c r="DF38" s="249" t="s">
        <v>14</v>
      </c>
      <c r="DG38" s="253" t="s">
        <v>14</v>
      </c>
      <c r="DH38" s="250" t="s">
        <v>14</v>
      </c>
      <c r="DI38" s="250" t="s">
        <v>14</v>
      </c>
      <c r="DJ38" s="250">
        <v>0</v>
      </c>
      <c r="DK38" s="250">
        <v>145.1</v>
      </c>
      <c r="DL38" s="250"/>
      <c r="DM38" s="250"/>
      <c r="DN38" s="250"/>
      <c r="DO38" s="250">
        <v>0</v>
      </c>
      <c r="DP38" s="250">
        <f>0.1+192.7</f>
        <v>192.79999999999998</v>
      </c>
      <c r="DQ38" s="250"/>
      <c r="DR38" s="250">
        <f>+'[2]EX1'!$E$55</f>
        <v>252.477159</v>
      </c>
      <c r="DS38" s="250">
        <v>425.7</v>
      </c>
      <c r="DT38" s="252">
        <f t="shared" si="4"/>
        <v>1016.0771589999999</v>
      </c>
      <c r="DU38" s="252"/>
      <c r="DV38" s="252"/>
      <c r="DW38" s="250"/>
      <c r="DX38" s="250"/>
      <c r="DY38" s="250">
        <v>0</v>
      </c>
      <c r="DZ38" s="250">
        <v>46.285348578000004</v>
      </c>
      <c r="EA38" s="250"/>
      <c r="EB38" s="250"/>
      <c r="EC38" s="250"/>
      <c r="ED38" s="250"/>
      <c r="EE38" s="250"/>
      <c r="EF38" s="250"/>
      <c r="EG38" s="251">
        <f t="shared" si="5"/>
        <v>46.285348578000004</v>
      </c>
      <c r="EH38" s="251">
        <v>19.44818561825</v>
      </c>
      <c r="EI38" s="250">
        <v>9.9102599456</v>
      </c>
      <c r="EJ38" s="249">
        <v>78.66632695999999</v>
      </c>
      <c r="EK38" s="249">
        <v>176.35531641</v>
      </c>
      <c r="EL38" s="254">
        <v>57.66565682</v>
      </c>
      <c r="EM38" s="254">
        <v>49.67181376</v>
      </c>
      <c r="EN38" s="254">
        <v>40.8638078</v>
      </c>
      <c r="EO38" s="254">
        <v>71.01442542999999</v>
      </c>
      <c r="EP38" s="254">
        <v>0.48058275</v>
      </c>
      <c r="EQ38" s="254">
        <v>102.319295</v>
      </c>
      <c r="ER38" s="254">
        <v>46.049852</v>
      </c>
      <c r="ES38" s="254">
        <v>39.178254</v>
      </c>
      <c r="ET38" s="250">
        <f t="shared" si="6"/>
        <v>46.285348578000004</v>
      </c>
      <c r="EU38" s="250">
        <f t="shared" si="7"/>
        <v>691.62377649385</v>
      </c>
      <c r="EV38" s="250">
        <v>42.272047</v>
      </c>
      <c r="EW38" s="250">
        <v>90.375654</v>
      </c>
      <c r="EX38" s="250">
        <v>30.823154</v>
      </c>
      <c r="EY38" s="250">
        <v>40.820449</v>
      </c>
      <c r="EZ38" s="250">
        <v>29.970265</v>
      </c>
      <c r="FA38" s="250">
        <v>30.510375</v>
      </c>
      <c r="FB38" s="250">
        <v>42.529472</v>
      </c>
      <c r="FC38" s="250">
        <v>32.198455</v>
      </c>
      <c r="FD38" s="250">
        <v>52.287470299999995</v>
      </c>
      <c r="FE38" s="250">
        <v>10.03863</v>
      </c>
      <c r="FF38" s="250">
        <v>43.254111</v>
      </c>
      <c r="FG38" s="261">
        <v>45.740678</v>
      </c>
      <c r="FH38" s="250">
        <v>55.355332</v>
      </c>
      <c r="FI38" s="250">
        <v>45.112332</v>
      </c>
      <c r="FJ38" s="250">
        <v>52.769367</v>
      </c>
      <c r="FK38" s="250">
        <v>45.439042</v>
      </c>
      <c r="FL38" s="250">
        <v>66.979753</v>
      </c>
      <c r="FM38" s="250">
        <v>105.851386</v>
      </c>
      <c r="FN38" s="250">
        <v>105.493342</v>
      </c>
      <c r="FO38" s="250">
        <v>117.308261</v>
      </c>
      <c r="FP38" s="250"/>
      <c r="FQ38" s="250">
        <v>21.935061</v>
      </c>
      <c r="FR38" s="250">
        <v>24.381907</v>
      </c>
      <c r="FS38" s="250">
        <v>19.414361</v>
      </c>
      <c r="FT38" s="250">
        <v>684.414433</v>
      </c>
      <c r="FU38" s="250">
        <v>522.017298</v>
      </c>
      <c r="FV38" s="250">
        <v>562.264595</v>
      </c>
      <c r="FW38" s="250">
        <v>713.630906</v>
      </c>
      <c r="FX38" s="250">
        <v>684.666556</v>
      </c>
      <c r="FY38" s="250">
        <v>584.864638</v>
      </c>
      <c r="FZ38" s="250">
        <v>572.433544</v>
      </c>
      <c r="GA38" s="250">
        <v>911.705633</v>
      </c>
      <c r="GB38" s="250">
        <v>816.897979</v>
      </c>
      <c r="GC38" s="250">
        <v>218.843215</v>
      </c>
      <c r="GD38" s="250">
        <v>883.655762</v>
      </c>
      <c r="GE38" s="250">
        <v>69.909887</v>
      </c>
      <c r="GF38" s="250">
        <v>55.096659</v>
      </c>
      <c r="GG38" s="250">
        <v>35.944273</v>
      </c>
      <c r="GH38" s="250">
        <v>88.038426</v>
      </c>
      <c r="GI38" s="250">
        <v>29.543088</v>
      </c>
      <c r="GJ38" s="250"/>
      <c r="GK38" s="250"/>
      <c r="GL38" s="250"/>
      <c r="GM38" s="250"/>
      <c r="GN38" s="250"/>
      <c r="GO38" s="250"/>
      <c r="GP38" s="250"/>
      <c r="GQ38" s="250"/>
      <c r="GR38" s="250">
        <f t="shared" si="8"/>
        <v>2482.327232</v>
      </c>
      <c r="GS38" s="250">
        <f t="shared" si="9"/>
        <v>208.62244600000002</v>
      </c>
    </row>
    <row r="39" spans="1:201" ht="13.5" customHeight="1">
      <c r="A39" s="91" t="s">
        <v>125</v>
      </c>
      <c r="B39" s="61" t="s">
        <v>123</v>
      </c>
      <c r="C39" s="62"/>
      <c r="D39" s="44"/>
      <c r="E39" s="63"/>
      <c r="F39" s="64"/>
      <c r="G39" s="64"/>
      <c r="H39" s="64"/>
      <c r="I39" s="64"/>
      <c r="J39" s="62"/>
      <c r="K39" s="64"/>
      <c r="L39" s="65"/>
      <c r="M39" s="66"/>
      <c r="N39" s="66"/>
      <c r="O39" s="68"/>
      <c r="P39" s="27"/>
      <c r="Q39" s="28"/>
      <c r="R39" s="68"/>
      <c r="S39" s="68"/>
      <c r="T39" s="69"/>
      <c r="U39" s="69"/>
      <c r="V39" s="69"/>
      <c r="W39" s="69"/>
      <c r="X39" s="197"/>
      <c r="Y39" s="237"/>
      <c r="Z39" s="249"/>
      <c r="AA39" s="249"/>
      <c r="AB39" s="249"/>
      <c r="AC39" s="249"/>
      <c r="AD39" s="249"/>
      <c r="AE39" s="249">
        <v>25265.158498</v>
      </c>
      <c r="AF39" s="249">
        <v>101494.344449</v>
      </c>
      <c r="AG39" s="250"/>
      <c r="AH39" s="263"/>
      <c r="AI39" s="254"/>
      <c r="AJ39" s="254"/>
      <c r="AK39" s="254"/>
      <c r="AL39" s="254"/>
      <c r="AM39" s="263"/>
      <c r="AN39" s="263"/>
      <c r="AO39" s="263"/>
      <c r="AP39" s="263"/>
      <c r="AQ39" s="263"/>
      <c r="AR39" s="254"/>
      <c r="AS39" s="255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49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49"/>
      <c r="BU39" s="250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0"/>
      <c r="CH39" s="251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53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2"/>
      <c r="DU39" s="252"/>
      <c r="DV39" s="252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1"/>
      <c r="EH39" s="251"/>
      <c r="EI39" s="250"/>
      <c r="EJ39" s="249"/>
      <c r="EK39" s="249"/>
      <c r="EL39" s="254"/>
      <c r="EM39" s="254"/>
      <c r="EN39" s="254"/>
      <c r="EO39" s="254"/>
      <c r="EP39" s="254"/>
      <c r="EQ39" s="254"/>
      <c r="ER39" s="254"/>
      <c r="ES39" s="254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0"/>
      <c r="FG39" s="261"/>
      <c r="FH39" s="250">
        <v>1085.675322</v>
      </c>
      <c r="FI39" s="250">
        <v>1482.781476</v>
      </c>
      <c r="FJ39" s="250">
        <v>1797.88523</v>
      </c>
      <c r="FK39" s="250">
        <v>924.620809</v>
      </c>
      <c r="FL39" s="250">
        <v>624.17061</v>
      </c>
      <c r="FM39" s="250">
        <v>1280.918613</v>
      </c>
      <c r="FN39" s="250">
        <v>1987.302041</v>
      </c>
      <c r="FO39" s="250">
        <v>2397.446851</v>
      </c>
      <c r="FP39" s="250">
        <v>2033.150018</v>
      </c>
      <c r="FQ39" s="250">
        <v>4264.220952</v>
      </c>
      <c r="FR39" s="250">
        <v>4866.094805</v>
      </c>
      <c r="FS39" s="250">
        <v>2520.891771</v>
      </c>
      <c r="FT39" s="250">
        <v>3908.204097</v>
      </c>
      <c r="FU39" s="250">
        <v>3776.182944</v>
      </c>
      <c r="FV39" s="250">
        <v>5098.845318</v>
      </c>
      <c r="FW39" s="250">
        <v>2992.048416</v>
      </c>
      <c r="FX39" s="250">
        <v>5308.423307</v>
      </c>
      <c r="FY39" s="250">
        <v>6389.586359</v>
      </c>
      <c r="FZ39" s="250">
        <v>4312.593063</v>
      </c>
      <c r="GA39" s="250">
        <v>6073.496662</v>
      </c>
      <c r="GB39" s="250">
        <v>5288.12371</v>
      </c>
      <c r="GC39" s="250">
        <v>44759.575424</v>
      </c>
      <c r="GD39" s="250">
        <v>7836.80375</v>
      </c>
      <c r="GE39" s="250">
        <v>5750.461399</v>
      </c>
      <c r="GF39" s="250">
        <v>4785.156617</v>
      </c>
      <c r="GG39" s="250">
        <v>40769.988435</v>
      </c>
      <c r="GH39" s="250">
        <v>4679.68784</v>
      </c>
      <c r="GI39" s="250">
        <v>5687.965288</v>
      </c>
      <c r="GJ39" s="250"/>
      <c r="GK39" s="250"/>
      <c r="GL39" s="250"/>
      <c r="GM39" s="250"/>
      <c r="GN39" s="250"/>
      <c r="GO39" s="250"/>
      <c r="GP39" s="250"/>
      <c r="GQ39" s="250"/>
      <c r="GR39" s="250">
        <f t="shared" si="8"/>
        <v>15775.280775</v>
      </c>
      <c r="GS39" s="250">
        <f t="shared" si="9"/>
        <v>55922.79818</v>
      </c>
    </row>
    <row r="40" spans="1:201" ht="18.75" customHeight="1">
      <c r="A40" s="31" t="s">
        <v>53</v>
      </c>
      <c r="B40" s="61" t="s">
        <v>54</v>
      </c>
      <c r="C40" s="62">
        <v>24.7</v>
      </c>
      <c r="D40" s="44"/>
      <c r="E40" s="63">
        <v>3.2</v>
      </c>
      <c r="F40" s="64">
        <v>13.3</v>
      </c>
      <c r="G40" s="64">
        <v>69.2</v>
      </c>
      <c r="H40" s="64">
        <v>12.4</v>
      </c>
      <c r="I40" s="64">
        <v>3.5</v>
      </c>
      <c r="J40" s="62">
        <v>5.1</v>
      </c>
      <c r="K40" s="64">
        <v>0.4</v>
      </c>
      <c r="L40" s="65" t="s">
        <v>14</v>
      </c>
      <c r="M40" s="66" t="s">
        <v>14</v>
      </c>
      <c r="N40" s="66" t="s">
        <v>14</v>
      </c>
      <c r="O40" s="67">
        <v>3.8</v>
      </c>
      <c r="P40" s="27">
        <v>13.8</v>
      </c>
      <c r="Q40" s="28" t="s">
        <v>14</v>
      </c>
      <c r="R40" s="68" t="s">
        <v>14</v>
      </c>
      <c r="S40" s="68">
        <v>0</v>
      </c>
      <c r="T40" s="68">
        <v>0</v>
      </c>
      <c r="U40" s="68" t="s">
        <v>14</v>
      </c>
      <c r="V40" s="28" t="s">
        <v>14</v>
      </c>
      <c r="W40" s="28" t="s">
        <v>14</v>
      </c>
      <c r="X40" s="197" t="s">
        <v>14</v>
      </c>
      <c r="Y40" s="237" t="s">
        <v>14</v>
      </c>
      <c r="Z40" s="249" t="s">
        <v>14</v>
      </c>
      <c r="AA40" s="249">
        <v>36.988005</v>
      </c>
      <c r="AB40" s="249">
        <v>763.6087851054199</v>
      </c>
      <c r="AC40" s="249">
        <v>717.5930885127999</v>
      </c>
      <c r="AD40" s="249">
        <v>478.6265980050001</v>
      </c>
      <c r="AE40" s="249">
        <v>316.592954</v>
      </c>
      <c r="AF40" s="249">
        <v>484.320959</v>
      </c>
      <c r="AG40" s="250" t="s">
        <v>14</v>
      </c>
      <c r="AH40" s="250" t="s">
        <v>14</v>
      </c>
      <c r="AI40" s="250" t="s">
        <v>14</v>
      </c>
      <c r="AJ40" s="250" t="s">
        <v>14</v>
      </c>
      <c r="AK40" s="250" t="s">
        <v>14</v>
      </c>
      <c r="AL40" s="250" t="s">
        <v>14</v>
      </c>
      <c r="AM40" s="250" t="s">
        <v>14</v>
      </c>
      <c r="AN40" s="250" t="s">
        <v>14</v>
      </c>
      <c r="AO40" s="250" t="s">
        <v>14</v>
      </c>
      <c r="AP40" s="250" t="s">
        <v>14</v>
      </c>
      <c r="AQ40" s="250" t="s">
        <v>14</v>
      </c>
      <c r="AR40" s="250" t="s">
        <v>14</v>
      </c>
      <c r="AS40" s="250" t="s">
        <v>14</v>
      </c>
      <c r="AT40" s="250" t="s">
        <v>14</v>
      </c>
      <c r="AU40" s="250" t="s">
        <v>14</v>
      </c>
      <c r="AV40" s="250" t="s">
        <v>14</v>
      </c>
      <c r="AW40" s="250" t="s">
        <v>14</v>
      </c>
      <c r="AX40" s="250" t="s">
        <v>14</v>
      </c>
      <c r="AY40" s="250" t="s">
        <v>14</v>
      </c>
      <c r="AZ40" s="250" t="s">
        <v>14</v>
      </c>
      <c r="BA40" s="250" t="s">
        <v>14</v>
      </c>
      <c r="BB40" s="250" t="s">
        <v>14</v>
      </c>
      <c r="BC40" s="250" t="s">
        <v>14</v>
      </c>
      <c r="BD40" s="250" t="s">
        <v>14</v>
      </c>
      <c r="BE40" s="250" t="s">
        <v>14</v>
      </c>
      <c r="BF40" s="249">
        <f t="shared" si="0"/>
        <v>0</v>
      </c>
      <c r="BG40" s="250" t="s">
        <v>14</v>
      </c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>
        <f t="shared" si="2"/>
        <v>0</v>
      </c>
      <c r="BT40" s="249">
        <f t="shared" si="11"/>
        <v>0</v>
      </c>
      <c r="BU40" s="250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0">
        <f t="shared" si="3"/>
        <v>0</v>
      </c>
      <c r="CH40" s="251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>
        <f t="shared" si="12"/>
        <v>0</v>
      </c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3" t="s">
        <v>14</v>
      </c>
      <c r="DH40" s="250" t="s">
        <v>14</v>
      </c>
      <c r="DI40" s="252">
        <v>36.988005</v>
      </c>
      <c r="DJ40" s="250">
        <v>0</v>
      </c>
      <c r="DK40" s="250">
        <v>0</v>
      </c>
      <c r="DL40" s="250"/>
      <c r="DM40" s="250"/>
      <c r="DN40" s="250"/>
      <c r="DO40" s="250">
        <v>0</v>
      </c>
      <c r="DP40" s="250"/>
      <c r="DQ40" s="250"/>
      <c r="DR40" s="250">
        <v>0</v>
      </c>
      <c r="DS40" s="250">
        <v>0</v>
      </c>
      <c r="DT40" s="252">
        <f t="shared" si="4"/>
        <v>36.988005</v>
      </c>
      <c r="DU40" s="252"/>
      <c r="DV40" s="252"/>
      <c r="DW40" s="250"/>
      <c r="DX40" s="250"/>
      <c r="DY40" s="250"/>
      <c r="DZ40" s="250">
        <v>381.7077891742</v>
      </c>
      <c r="EA40" s="250">
        <v>44.029969439999995</v>
      </c>
      <c r="EB40" s="250">
        <v>4.7586856</v>
      </c>
      <c r="EC40" s="250">
        <v>123.8846182161</v>
      </c>
      <c r="ED40" s="250">
        <v>112.28177272962002</v>
      </c>
      <c r="EE40" s="250">
        <v>42.10051140149999</v>
      </c>
      <c r="EF40" s="250">
        <v>54.845438544</v>
      </c>
      <c r="EG40" s="251">
        <f t="shared" si="5"/>
        <v>763.6087851054199</v>
      </c>
      <c r="EH40" s="251">
        <v>110.893776</v>
      </c>
      <c r="EI40" s="250">
        <v>157.7602512628</v>
      </c>
      <c r="EJ40" s="249">
        <v>60.234992340000005</v>
      </c>
      <c r="EK40" s="249">
        <v>5.14908504</v>
      </c>
      <c r="EL40" s="254">
        <v>139.68335095</v>
      </c>
      <c r="EM40" s="254">
        <v>149.27052161</v>
      </c>
      <c r="EN40" s="254">
        <v>18.41287795</v>
      </c>
      <c r="EO40" s="254">
        <v>1.4974945</v>
      </c>
      <c r="EP40" s="254">
        <v>61.84726886</v>
      </c>
      <c r="EQ40" s="254">
        <v>9.4848</v>
      </c>
      <c r="ER40" s="254"/>
      <c r="ES40" s="254">
        <v>3.35867</v>
      </c>
      <c r="ET40" s="250">
        <f t="shared" si="6"/>
        <v>763.6087851054199</v>
      </c>
      <c r="EU40" s="250">
        <f t="shared" si="7"/>
        <v>717.5930885127999</v>
      </c>
      <c r="EV40" s="250">
        <v>157.058836</v>
      </c>
      <c r="EW40" s="250">
        <v>18.459223</v>
      </c>
      <c r="EX40" s="250">
        <v>5.530496</v>
      </c>
      <c r="EY40" s="250">
        <v>7.606362</v>
      </c>
      <c r="EZ40" s="250">
        <v>0.045522</v>
      </c>
      <c r="FA40" s="250">
        <v>15.747226</v>
      </c>
      <c r="FB40" s="250">
        <v>51.914875</v>
      </c>
      <c r="FC40" s="250">
        <v>109.689789</v>
      </c>
      <c r="FD40" s="250">
        <v>27.522101005</v>
      </c>
      <c r="FE40" s="250">
        <v>64.768855</v>
      </c>
      <c r="FF40" s="250">
        <v>9.05153</v>
      </c>
      <c r="FG40" s="261">
        <v>11.231783</v>
      </c>
      <c r="FH40" s="250">
        <v>20.23903</v>
      </c>
      <c r="FI40" s="250">
        <v>67.583394</v>
      </c>
      <c r="FJ40" s="250">
        <v>39.434333</v>
      </c>
      <c r="FK40" s="250">
        <v>2.820686</v>
      </c>
      <c r="FL40" s="250">
        <v>1.488542</v>
      </c>
      <c r="FM40" s="250">
        <v>4.72</v>
      </c>
      <c r="FN40" s="250">
        <v>34.234472</v>
      </c>
      <c r="FO40" s="250">
        <v>53.844241</v>
      </c>
      <c r="FP40" s="250">
        <v>38.563714</v>
      </c>
      <c r="FQ40" s="250">
        <v>49.309542</v>
      </c>
      <c r="FR40" s="250">
        <v>0.26</v>
      </c>
      <c r="FS40" s="250">
        <v>4.095000000000001</v>
      </c>
      <c r="FT40" s="250">
        <v>39.725013</v>
      </c>
      <c r="FU40" s="250">
        <v>36.74955</v>
      </c>
      <c r="FV40" s="250">
        <v>18.125609</v>
      </c>
      <c r="FW40" s="250">
        <v>23.555771</v>
      </c>
      <c r="FX40" s="250">
        <v>0.155</v>
      </c>
      <c r="FY40" s="250">
        <v>45.073746</v>
      </c>
      <c r="FZ40" s="250">
        <v>55.69398</v>
      </c>
      <c r="GA40" s="250">
        <v>14.979807</v>
      </c>
      <c r="GB40" s="250">
        <v>2.084991</v>
      </c>
      <c r="GC40" s="250">
        <v>212.616983</v>
      </c>
      <c r="GD40" s="250">
        <v>31.750529</v>
      </c>
      <c r="GE40" s="250">
        <v>3.80998</v>
      </c>
      <c r="GF40" s="250">
        <v>0.635</v>
      </c>
      <c r="GG40" s="250">
        <v>8.942638</v>
      </c>
      <c r="GH40" s="250">
        <v>1.29732</v>
      </c>
      <c r="GI40" s="250">
        <v>4.219561</v>
      </c>
      <c r="GJ40" s="250"/>
      <c r="GK40" s="250"/>
      <c r="GL40" s="250"/>
      <c r="GM40" s="250"/>
      <c r="GN40" s="250"/>
      <c r="GO40" s="250"/>
      <c r="GP40" s="250"/>
      <c r="GQ40" s="250"/>
      <c r="GR40" s="250">
        <f t="shared" si="8"/>
        <v>118.15594299999998</v>
      </c>
      <c r="GS40" s="250">
        <f t="shared" si="9"/>
        <v>15.094518999999998</v>
      </c>
    </row>
    <row r="41" spans="1:201" ht="18">
      <c r="A41" s="21"/>
      <c r="B41" s="61" t="s">
        <v>130</v>
      </c>
      <c r="C41" s="62">
        <v>21.5</v>
      </c>
      <c r="D41" s="44"/>
      <c r="E41" s="63">
        <v>391.3</v>
      </c>
      <c r="F41" s="64">
        <v>93.8</v>
      </c>
      <c r="G41" s="64">
        <v>104.3</v>
      </c>
      <c r="H41" s="64">
        <v>1149.5</v>
      </c>
      <c r="I41" s="64">
        <v>1060.5</v>
      </c>
      <c r="J41" s="62">
        <v>452.9</v>
      </c>
      <c r="K41" s="64">
        <v>90.3</v>
      </c>
      <c r="L41" s="65">
        <v>24.6</v>
      </c>
      <c r="M41" s="66">
        <v>42.8</v>
      </c>
      <c r="N41" s="66">
        <v>100.6</v>
      </c>
      <c r="O41" s="67">
        <v>22.6</v>
      </c>
      <c r="P41" s="27">
        <v>841.1</v>
      </c>
      <c r="Q41" s="27">
        <v>588.9</v>
      </c>
      <c r="R41" s="68">
        <v>276.4</v>
      </c>
      <c r="S41" s="68">
        <v>729.8</v>
      </c>
      <c r="T41" s="69">
        <v>1783.3</v>
      </c>
      <c r="U41" s="69">
        <v>1697.2</v>
      </c>
      <c r="V41" s="68">
        <v>262.5</v>
      </c>
      <c r="W41" s="68">
        <v>1247.716</v>
      </c>
      <c r="X41" s="197">
        <f>1035.482+137.5</f>
        <v>1172.982</v>
      </c>
      <c r="Y41" s="237">
        <f t="shared" si="13"/>
        <v>770.3983890000001</v>
      </c>
      <c r="Z41" s="249">
        <f t="shared" si="10"/>
        <v>2572.8343872814053</v>
      </c>
      <c r="AA41" s="249">
        <v>3439.8309679999998</v>
      </c>
      <c r="AB41" s="249">
        <v>17623.48532733926</v>
      </c>
      <c r="AC41" s="249">
        <v>30890.37792139454</v>
      </c>
      <c r="AD41" s="249">
        <v>18433.102072785005</v>
      </c>
      <c r="AE41" s="249">
        <v>22602.28901200001</v>
      </c>
      <c r="AF41" s="249">
        <v>21785.35667799999</v>
      </c>
      <c r="AG41" s="250">
        <v>22.3</v>
      </c>
      <c r="AH41" s="263">
        <v>30.4</v>
      </c>
      <c r="AI41" s="263">
        <v>29.1</v>
      </c>
      <c r="AJ41" s="263">
        <v>45.5</v>
      </c>
      <c r="AK41" s="263">
        <v>26.5</v>
      </c>
      <c r="AL41" s="254">
        <v>69.9</v>
      </c>
      <c r="AM41" s="254">
        <v>164.4</v>
      </c>
      <c r="AN41" s="263">
        <v>34.7</v>
      </c>
      <c r="AO41" s="263">
        <v>14.4</v>
      </c>
      <c r="AP41" s="263">
        <v>834.7</v>
      </c>
      <c r="AQ41" s="263">
        <v>257.5</v>
      </c>
      <c r="AR41" s="263">
        <v>167.79999999999998</v>
      </c>
      <c r="AS41" s="255">
        <v>1697.2</v>
      </c>
      <c r="AT41" s="250">
        <v>19.105</v>
      </c>
      <c r="AU41" s="250">
        <v>51.3</v>
      </c>
      <c r="AV41" s="250">
        <v>9.7</v>
      </c>
      <c r="AW41" s="250">
        <v>0.8</v>
      </c>
      <c r="AX41" s="250">
        <v>13.6</v>
      </c>
      <c r="AY41" s="250">
        <v>38.46</v>
      </c>
      <c r="AZ41" s="250">
        <v>33.800000000000004</v>
      </c>
      <c r="BA41" s="250">
        <v>17.017</v>
      </c>
      <c r="BB41" s="250">
        <v>20.8</v>
      </c>
      <c r="BC41" s="250">
        <v>1.8</v>
      </c>
      <c r="BD41" s="250">
        <v>29.04</v>
      </c>
      <c r="BE41" s="250">
        <v>26.97</v>
      </c>
      <c r="BF41" s="249">
        <v>262.39200000000005</v>
      </c>
      <c r="BG41" s="250">
        <v>183.09199999999998</v>
      </c>
      <c r="BH41" s="250">
        <v>2.699</v>
      </c>
      <c r="BI41" s="250">
        <v>28.714</v>
      </c>
      <c r="BJ41" s="250">
        <v>24.292</v>
      </c>
      <c r="BK41" s="250">
        <v>11.092</v>
      </c>
      <c r="BL41" s="250">
        <v>33.806000000000004</v>
      </c>
      <c r="BM41" s="250">
        <v>389.001</v>
      </c>
      <c r="BN41" s="250">
        <v>26.92</v>
      </c>
      <c r="BO41" s="250">
        <v>20.400000000000002</v>
      </c>
      <c r="BP41" s="250">
        <v>212.86999999999998</v>
      </c>
      <c r="BQ41" s="250">
        <v>63.88999999999999</v>
      </c>
      <c r="BR41" s="250">
        <v>250.93999999999994</v>
      </c>
      <c r="BS41" s="250">
        <v>1247.716</v>
      </c>
      <c r="BT41" s="249">
        <v>1247.716</v>
      </c>
      <c r="BU41" s="250">
        <v>91.07</v>
      </c>
      <c r="BV41" s="251">
        <v>67.011</v>
      </c>
      <c r="BW41" s="251">
        <v>168.6</v>
      </c>
      <c r="BX41" s="251">
        <v>5.901</v>
      </c>
      <c r="BY41" s="251">
        <v>106.1</v>
      </c>
      <c r="BZ41" s="251">
        <v>215.9</v>
      </c>
      <c r="CA41" s="251">
        <v>274.7</v>
      </c>
      <c r="CB41" s="251">
        <v>38.8</v>
      </c>
      <c r="CC41" s="251">
        <v>8.5</v>
      </c>
      <c r="CD41" s="251">
        <v>12.5</v>
      </c>
      <c r="CE41" s="251">
        <v>29.9</v>
      </c>
      <c r="CF41" s="251">
        <v>16.5</v>
      </c>
      <c r="CG41" s="250">
        <v>1035.482</v>
      </c>
      <c r="CH41" s="251">
        <v>36.73</v>
      </c>
      <c r="CI41" s="252">
        <v>13.9</v>
      </c>
      <c r="CJ41" s="252">
        <v>50.9</v>
      </c>
      <c r="CK41" s="252">
        <v>35.7</v>
      </c>
      <c r="CL41" s="252">
        <v>38.175999999999995</v>
      </c>
      <c r="CM41" s="252">
        <v>50.99</v>
      </c>
      <c r="CN41" s="252">
        <v>120.77699999999999</v>
      </c>
      <c r="CO41" s="252">
        <v>93.56</v>
      </c>
      <c r="CP41" s="252">
        <v>52.2</v>
      </c>
      <c r="CQ41" s="252">
        <v>155.865389</v>
      </c>
      <c r="CR41" s="252">
        <v>50.099999999999994</v>
      </c>
      <c r="CS41" s="252">
        <v>71.5</v>
      </c>
      <c r="CT41" s="252">
        <v>770.3983890000001</v>
      </c>
      <c r="CU41" s="252">
        <v>39</v>
      </c>
      <c r="CV41" s="250">
        <v>90.39999999999898</v>
      </c>
      <c r="CW41" s="250">
        <v>176.56000000000003</v>
      </c>
      <c r="CX41" s="250">
        <v>88.29999999999998</v>
      </c>
      <c r="CY41" s="250">
        <v>74.79599228139959</v>
      </c>
      <c r="CZ41" s="250">
        <v>795.1000000000012</v>
      </c>
      <c r="DA41" s="250">
        <v>580.5</v>
      </c>
      <c r="DB41" s="250">
        <v>323.70399999999995</v>
      </c>
      <c r="DC41" s="250">
        <v>79.73</v>
      </c>
      <c r="DD41" s="250">
        <v>98.03623200000337</v>
      </c>
      <c r="DE41" s="250">
        <v>75.60816300000056</v>
      </c>
      <c r="DF41" s="250">
        <v>151.1000000000018</v>
      </c>
      <c r="DG41" s="253">
        <v>2572.8343872814053</v>
      </c>
      <c r="DH41" s="252">
        <v>134.926977</v>
      </c>
      <c r="DI41" s="252">
        <v>302.871472</v>
      </c>
      <c r="DJ41" s="252">
        <v>146.451518</v>
      </c>
      <c r="DK41" s="252">
        <v>359.45000000000005</v>
      </c>
      <c r="DL41" s="252">
        <v>126.156</v>
      </c>
      <c r="DM41" s="252">
        <v>312.00000000000006</v>
      </c>
      <c r="DN41" s="252">
        <v>246.5</v>
      </c>
      <c r="DO41" s="252">
        <v>459.288433</v>
      </c>
      <c r="DP41" s="252">
        <v>334.7</v>
      </c>
      <c r="DQ41" s="252">
        <v>47.428637</v>
      </c>
      <c r="DR41" s="252">
        <v>500.13593099999997</v>
      </c>
      <c r="DS41" s="252">
        <v>469.9</v>
      </c>
      <c r="DT41" s="252">
        <f t="shared" si="4"/>
        <v>3439.808968</v>
      </c>
      <c r="DU41" s="252">
        <v>265.95864300000176</v>
      </c>
      <c r="DV41" s="252">
        <v>311.737600999999</v>
      </c>
      <c r="DW41" s="250">
        <v>419.723891000001</v>
      </c>
      <c r="DX41" s="250">
        <v>407.469323999999</v>
      </c>
      <c r="DY41" s="250">
        <v>2615.6668418302497</v>
      </c>
      <c r="DZ41" s="250">
        <v>703.117288099425</v>
      </c>
      <c r="EA41" s="250">
        <v>1579.188591216136</v>
      </c>
      <c r="EB41" s="250">
        <v>710.708334408375</v>
      </c>
      <c r="EC41" s="250">
        <v>755.586246020207</v>
      </c>
      <c r="ED41" s="250">
        <v>1486.76937211915</v>
      </c>
      <c r="EE41" s="250">
        <v>1095.758074979804</v>
      </c>
      <c r="EF41" s="250">
        <v>7271.80111966591</v>
      </c>
      <c r="EG41" s="251">
        <f t="shared" si="5"/>
        <v>17623.48532733926</v>
      </c>
      <c r="EH41" s="251">
        <v>1220.7238262149167</v>
      </c>
      <c r="EI41" s="250">
        <v>2233.2823222496218</v>
      </c>
      <c r="EJ41" s="249">
        <v>1589.9181430300023</v>
      </c>
      <c r="EK41" s="249">
        <v>2044.6988631499999</v>
      </c>
      <c r="EL41" s="254">
        <v>5179.40757151</v>
      </c>
      <c r="EM41" s="254">
        <v>3005.196829579995</v>
      </c>
      <c r="EN41" s="254">
        <v>2469.1352625200016</v>
      </c>
      <c r="EO41" s="254">
        <v>2927.320422330007</v>
      </c>
      <c r="EP41" s="254">
        <v>2969.8598908099957</v>
      </c>
      <c r="EQ41" s="254">
        <v>1397.070205</v>
      </c>
      <c r="ER41" s="254">
        <v>3643.5168260000028</v>
      </c>
      <c r="ES41" s="254">
        <v>2210.2477590000017</v>
      </c>
      <c r="ET41" s="250">
        <f t="shared" si="6"/>
        <v>17623.48532733926</v>
      </c>
      <c r="EU41" s="250">
        <f t="shared" si="7"/>
        <v>30890.37792139454</v>
      </c>
      <c r="EV41" s="250">
        <v>1211.2811660000007</v>
      </c>
      <c r="EW41" s="250">
        <v>2559.277799999998</v>
      </c>
      <c r="EX41" s="250">
        <v>1209.7947410000006</v>
      </c>
      <c r="EY41" s="250">
        <v>1644.937555999999</v>
      </c>
      <c r="EZ41" s="250">
        <v>976.5164870000003</v>
      </c>
      <c r="FA41" s="250">
        <v>1330.7638160000006</v>
      </c>
      <c r="FB41" s="250">
        <v>1121.8379729999979</v>
      </c>
      <c r="FC41" s="250">
        <v>1440.999986999998</v>
      </c>
      <c r="FD41" s="250">
        <v>1596.2641667849985</v>
      </c>
      <c r="FE41" s="250">
        <v>2045.0189910000008</v>
      </c>
      <c r="FF41" s="250">
        <v>1554.1049500000045</v>
      </c>
      <c r="FG41" s="261">
        <v>1742.3044390000086</v>
      </c>
      <c r="FH41" s="250">
        <v>1973.934781</v>
      </c>
      <c r="FI41" s="250">
        <v>1950.099139</v>
      </c>
      <c r="FJ41" s="250">
        <v>2267.261186999999</v>
      </c>
      <c r="FK41" s="250">
        <v>923.4612790000001</v>
      </c>
      <c r="FL41" s="250">
        <v>3163.883076</v>
      </c>
      <c r="FM41" s="250">
        <v>1858.2597969999988</v>
      </c>
      <c r="FN41" s="250">
        <v>2753.276453999999</v>
      </c>
      <c r="FO41" s="250">
        <v>1495.7245020000028</v>
      </c>
      <c r="FP41" s="250">
        <v>1532.9497010000032</v>
      </c>
      <c r="FQ41" s="250">
        <v>1420.7358800000002</v>
      </c>
      <c r="FR41" s="250">
        <v>1249.5526129999998</v>
      </c>
      <c r="FS41" s="250">
        <v>2013.1506030000019</v>
      </c>
      <c r="FT41" s="250">
        <v>1622.6277240000018</v>
      </c>
      <c r="FU41" s="250">
        <v>1283.115832999998</v>
      </c>
      <c r="FV41" s="250">
        <v>1215.236402999999</v>
      </c>
      <c r="FW41" s="250">
        <v>1421.5741030000072</v>
      </c>
      <c r="FX41" s="250">
        <v>3327.6333899999972</v>
      </c>
      <c r="FY41" s="250">
        <v>1636.495998999997</v>
      </c>
      <c r="FZ41" s="250">
        <v>1941.9178960000027</v>
      </c>
      <c r="GA41" s="250">
        <v>2066.303671000005</v>
      </c>
      <c r="GB41" s="250">
        <v>1890.9947329999886</v>
      </c>
      <c r="GC41" s="250">
        <v>1568.3222989999995</v>
      </c>
      <c r="GD41" s="250">
        <v>1622.2287069999984</v>
      </c>
      <c r="GE41" s="250">
        <v>2188.905919999994</v>
      </c>
      <c r="GF41" s="250">
        <v>969.853654999981</v>
      </c>
      <c r="GG41" s="250">
        <v>2003.452898</v>
      </c>
      <c r="GH41" s="250">
        <v>1281.0167159999999</v>
      </c>
      <c r="GI41" s="250">
        <v>2090.7315729999973</v>
      </c>
      <c r="GJ41" s="250"/>
      <c r="GK41" s="250"/>
      <c r="GL41" s="250"/>
      <c r="GM41" s="250"/>
      <c r="GN41" s="250"/>
      <c r="GO41" s="250"/>
      <c r="GP41" s="250"/>
      <c r="GQ41" s="250"/>
      <c r="GR41" s="250">
        <f t="shared" si="8"/>
        <v>5542.554063000006</v>
      </c>
      <c r="GS41" s="250">
        <f t="shared" si="9"/>
        <v>6345.054841999979</v>
      </c>
    </row>
    <row r="42" spans="1:201" ht="15.75">
      <c r="A42" s="21"/>
      <c r="B42" s="61"/>
      <c r="C42" s="62"/>
      <c r="D42" s="44"/>
      <c r="E42" s="63"/>
      <c r="F42" s="64"/>
      <c r="G42" s="64"/>
      <c r="H42" s="64"/>
      <c r="I42" s="64"/>
      <c r="J42" s="62"/>
      <c r="K42" s="64"/>
      <c r="L42" s="65"/>
      <c r="M42" s="66"/>
      <c r="N42" s="66"/>
      <c r="O42" s="67"/>
      <c r="P42" s="27"/>
      <c r="Q42" s="27"/>
      <c r="R42" s="68"/>
      <c r="S42" s="68"/>
      <c r="T42" s="69"/>
      <c r="U42" s="69"/>
      <c r="V42" s="68"/>
      <c r="W42" s="68"/>
      <c r="X42" s="197"/>
      <c r="Y42" s="237"/>
      <c r="Z42" s="249"/>
      <c r="AA42" s="249"/>
      <c r="AB42" s="249"/>
      <c r="AC42" s="249"/>
      <c r="AD42" s="249"/>
      <c r="AE42" s="249"/>
      <c r="AF42" s="249"/>
      <c r="AG42" s="250"/>
      <c r="AH42" s="263"/>
      <c r="AI42" s="263"/>
      <c r="AJ42" s="263"/>
      <c r="AK42" s="263"/>
      <c r="AL42" s="254"/>
      <c r="AM42" s="254"/>
      <c r="AN42" s="263"/>
      <c r="AO42" s="263"/>
      <c r="AP42" s="263"/>
      <c r="AQ42" s="263"/>
      <c r="AR42" s="263"/>
      <c r="AS42" s="255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49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49"/>
      <c r="BU42" s="250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0"/>
      <c r="CH42" s="251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3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7"/>
      <c r="DV42" s="257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1"/>
      <c r="EI42" s="250"/>
      <c r="EJ42" s="249"/>
      <c r="EK42" s="249"/>
      <c r="EL42" s="254"/>
      <c r="EM42" s="254"/>
      <c r="EN42" s="254"/>
      <c r="EO42" s="254"/>
      <c r="EP42" s="254"/>
      <c r="EQ42" s="254"/>
      <c r="ER42" s="254"/>
      <c r="ES42" s="254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61"/>
      <c r="FH42" s="250"/>
      <c r="FI42" s="250"/>
      <c r="FJ42" s="250"/>
      <c r="FK42" s="250"/>
      <c r="FL42" s="250"/>
      <c r="FM42" s="250"/>
      <c r="FN42" s="250"/>
      <c r="FO42" s="250"/>
      <c r="FP42" s="250"/>
      <c r="FQ42" s="250"/>
      <c r="FR42" s="250"/>
      <c r="FS42" s="250"/>
      <c r="FT42" s="250"/>
      <c r="FU42" s="250"/>
      <c r="FV42" s="250"/>
      <c r="FW42" s="250"/>
      <c r="FX42" s="250"/>
      <c r="FY42" s="250"/>
      <c r="FZ42" s="250"/>
      <c r="GA42" s="250"/>
      <c r="GB42" s="250"/>
      <c r="GC42" s="250"/>
      <c r="GD42" s="250"/>
      <c r="GE42" s="250"/>
      <c r="GF42" s="250"/>
      <c r="GG42" s="250"/>
      <c r="GH42" s="250"/>
      <c r="GI42" s="250"/>
      <c r="GJ42" s="250"/>
      <c r="GK42" s="250"/>
      <c r="GL42" s="250"/>
      <c r="GM42" s="250"/>
      <c r="GN42" s="250"/>
      <c r="GO42" s="250"/>
      <c r="GP42" s="250"/>
      <c r="GQ42" s="250"/>
      <c r="GR42" s="250"/>
      <c r="GS42" s="250"/>
    </row>
    <row r="43" spans="1:201" ht="15.75">
      <c r="A43" s="92"/>
      <c r="B43" s="93"/>
      <c r="C43" s="94"/>
      <c r="D43" s="95"/>
      <c r="E43" s="96"/>
      <c r="F43" s="97"/>
      <c r="G43" s="97"/>
      <c r="H43" s="97"/>
      <c r="I43" s="53"/>
      <c r="J43" s="19"/>
      <c r="K43" s="53"/>
      <c r="L43" s="98"/>
      <c r="M43" s="98"/>
      <c r="N43" s="98"/>
      <c r="O43" s="99"/>
      <c r="P43" s="54"/>
      <c r="Q43" s="54"/>
      <c r="R43" s="68"/>
      <c r="S43" s="54"/>
      <c r="T43" s="28"/>
      <c r="U43" s="28"/>
      <c r="V43" s="100"/>
      <c r="W43" s="101"/>
      <c r="X43" s="102"/>
      <c r="Y43" s="43"/>
      <c r="Z43" s="21"/>
      <c r="AA43" s="21"/>
      <c r="AB43" s="21"/>
      <c r="AC43" s="21"/>
      <c r="AD43" s="21"/>
      <c r="AE43" s="21"/>
      <c r="AF43" s="21"/>
      <c r="AG43" s="27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103"/>
      <c r="AT43" s="54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100"/>
      <c r="BG43" s="50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102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50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5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6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203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59"/>
      <c r="EI43" s="43"/>
      <c r="EJ43" s="21"/>
      <c r="EK43" s="21"/>
      <c r="EL43" s="8"/>
      <c r="EM43" s="8"/>
      <c r="EN43" s="8"/>
      <c r="EO43" s="8"/>
      <c r="EP43" s="8"/>
      <c r="EQ43" s="8"/>
      <c r="ER43" s="8"/>
      <c r="ES43" s="8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285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43"/>
      <c r="GS43" s="43"/>
    </row>
    <row r="44" spans="1:201" ht="15.75">
      <c r="A44" s="21"/>
      <c r="B44" s="43"/>
      <c r="C44" s="62"/>
      <c r="D44" s="44"/>
      <c r="E44" s="63"/>
      <c r="F44" s="64"/>
      <c r="G44" s="64"/>
      <c r="H44" s="64"/>
      <c r="I44" s="34"/>
      <c r="J44" s="35"/>
      <c r="K44" s="34"/>
      <c r="L44" s="66"/>
      <c r="M44" s="66"/>
      <c r="N44" s="66"/>
      <c r="O44" s="67"/>
      <c r="P44" s="27"/>
      <c r="Q44" s="27"/>
      <c r="R44" s="106"/>
      <c r="S44" s="107"/>
      <c r="T44" s="108"/>
      <c r="U44" s="108"/>
      <c r="V44" s="68"/>
      <c r="W44" s="72"/>
      <c r="X44" s="109"/>
      <c r="Y44" s="23"/>
      <c r="Z44" s="9"/>
      <c r="AA44" s="9"/>
      <c r="AB44" s="9"/>
      <c r="AC44" s="9"/>
      <c r="AD44" s="9"/>
      <c r="AE44" s="9"/>
      <c r="AF44" s="9"/>
      <c r="AG44" s="25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89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113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109"/>
      <c r="BU44" s="72"/>
      <c r="BV44" s="72"/>
      <c r="BW44" s="72"/>
      <c r="BX44" s="72"/>
      <c r="BY44" s="72"/>
      <c r="BZ44" s="72"/>
      <c r="CA44" s="72"/>
      <c r="CB44" s="8"/>
      <c r="CC44" s="23"/>
      <c r="CD44" s="23"/>
      <c r="CE44" s="23"/>
      <c r="CF44" s="23"/>
      <c r="CG44" s="72"/>
      <c r="CH44" s="59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59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28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04"/>
      <c r="DU44" s="204"/>
      <c r="DV44" s="204"/>
      <c r="DW44" s="205"/>
      <c r="DX44" s="205"/>
      <c r="DY44" s="205"/>
      <c r="DZ44" s="205"/>
      <c r="EA44" s="204"/>
      <c r="EB44" s="205"/>
      <c r="EC44" s="205"/>
      <c r="ED44" s="205"/>
      <c r="EE44" s="205"/>
      <c r="EF44" s="205"/>
      <c r="EG44" s="205"/>
      <c r="EH44" s="23"/>
      <c r="EI44" s="23"/>
      <c r="EJ44" s="9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81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05"/>
      <c r="FT44" s="205"/>
      <c r="FU44" s="205"/>
      <c r="FV44" s="205"/>
      <c r="FW44" s="205"/>
      <c r="FX44" s="205"/>
      <c r="FY44" s="205"/>
      <c r="FZ44" s="205"/>
      <c r="GA44" s="205"/>
      <c r="GB44" s="205"/>
      <c r="GC44" s="205"/>
      <c r="GD44" s="205"/>
      <c r="GE44" s="205"/>
      <c r="GF44" s="205"/>
      <c r="GG44" s="205"/>
      <c r="GH44" s="205"/>
      <c r="GI44" s="205"/>
      <c r="GJ44" s="205"/>
      <c r="GK44" s="205"/>
      <c r="GL44" s="205"/>
      <c r="GM44" s="205"/>
      <c r="GN44" s="205"/>
      <c r="GO44" s="205"/>
      <c r="GP44" s="205"/>
      <c r="GQ44" s="205"/>
      <c r="GR44" s="23"/>
      <c r="GS44" s="23"/>
    </row>
    <row r="45" spans="1:201" s="4" customFormat="1" ht="15.75">
      <c r="A45" s="115"/>
      <c r="B45" s="116" t="s">
        <v>55</v>
      </c>
      <c r="C45" s="117">
        <f>SUM(C9:C41)</f>
        <v>18227.9</v>
      </c>
      <c r="D45" s="118"/>
      <c r="E45" s="119">
        <f>SUM(E9:E41)</f>
        <v>12783.599999999999</v>
      </c>
      <c r="F45" s="119">
        <f>SUM(F9:F41)</f>
        <v>16598.8</v>
      </c>
      <c r="G45" s="119">
        <f>SUM(G9:G41)</f>
        <v>15269.5</v>
      </c>
      <c r="H45" s="119">
        <f>SUM(H11:H41)</f>
        <v>15019.099999999997</v>
      </c>
      <c r="I45" s="119">
        <f>SUM(I11:I41)</f>
        <v>30033.699999999997</v>
      </c>
      <c r="J45" s="117">
        <f>SUM(J11:J41)</f>
        <v>25555.6</v>
      </c>
      <c r="K45" s="119">
        <f aca="true" t="shared" si="15" ref="K45:R45">SUM(K9:K41)</f>
        <v>11292.399999999998</v>
      </c>
      <c r="L45" s="120">
        <f t="shared" si="15"/>
        <v>30767.199999999993</v>
      </c>
      <c r="M45" s="120">
        <f t="shared" si="15"/>
        <v>28634.799999999996</v>
      </c>
      <c r="N45" s="65">
        <f t="shared" si="15"/>
        <v>30970.800000000003</v>
      </c>
      <c r="O45" s="121">
        <f t="shared" si="15"/>
        <v>35223.00000000001</v>
      </c>
      <c r="P45" s="122">
        <f t="shared" si="15"/>
        <v>31978.100000000002</v>
      </c>
      <c r="Q45" s="123">
        <f t="shared" si="15"/>
        <v>28868.100000000002</v>
      </c>
      <c r="R45" s="124">
        <f t="shared" si="15"/>
        <v>40628.700000000004</v>
      </c>
      <c r="S45" s="125">
        <f aca="true" t="shared" si="16" ref="S45:BH45">SUM(S11:S41)</f>
        <v>53378.52005087933</v>
      </c>
      <c r="T45" s="125">
        <f t="shared" si="16"/>
        <v>65761.84392744357</v>
      </c>
      <c r="U45" s="125">
        <f t="shared" si="16"/>
        <v>59892.89520423859</v>
      </c>
      <c r="V45" s="125">
        <f t="shared" si="16"/>
        <v>63653.24935936369</v>
      </c>
      <c r="W45" s="125">
        <f t="shared" si="16"/>
        <v>82581.23099449114</v>
      </c>
      <c r="X45" s="123">
        <f t="shared" si="16"/>
        <v>84161.482</v>
      </c>
      <c r="Y45" s="123">
        <f t="shared" si="16"/>
        <v>124596.48399699999</v>
      </c>
      <c r="Z45" s="123">
        <f t="shared" si="16"/>
        <v>156350.42671228142</v>
      </c>
      <c r="AA45" s="123">
        <f t="shared" si="16"/>
        <v>194303.56106649607</v>
      </c>
      <c r="AB45" s="123">
        <f t="shared" si="16"/>
        <v>146257.0941660977</v>
      </c>
      <c r="AC45" s="123">
        <f t="shared" si="16"/>
        <v>203843.56709993762</v>
      </c>
      <c r="AD45" s="123">
        <f t="shared" si="16"/>
        <v>189945.6284233918</v>
      </c>
      <c r="AE45" s="123">
        <f t="shared" si="16"/>
        <v>206309.54887593782</v>
      </c>
      <c r="AF45" s="123">
        <f t="shared" si="16"/>
        <v>298500.14359779994</v>
      </c>
      <c r="AG45" s="123">
        <f t="shared" si="16"/>
        <v>1905.4902243754436</v>
      </c>
      <c r="AH45" s="123">
        <f t="shared" si="16"/>
        <v>2770.6456976330005</v>
      </c>
      <c r="AI45" s="123">
        <f t="shared" si="16"/>
        <v>2523.5972977450638</v>
      </c>
      <c r="AJ45" s="123">
        <f t="shared" si="16"/>
        <v>2228.0568227965</v>
      </c>
      <c r="AK45" s="123">
        <f t="shared" si="16"/>
        <v>2604.2861245871995</v>
      </c>
      <c r="AL45" s="123">
        <f t="shared" si="16"/>
        <v>1430.1634089546003</v>
      </c>
      <c r="AM45" s="123">
        <f t="shared" si="16"/>
        <v>2241.5155067396</v>
      </c>
      <c r="AN45" s="123">
        <f t="shared" si="16"/>
        <v>6797.264058145801</v>
      </c>
      <c r="AO45" s="123">
        <f t="shared" si="16"/>
        <v>7077.453147702298</v>
      </c>
      <c r="AP45" s="123">
        <f t="shared" si="16"/>
        <v>10072.891845886203</v>
      </c>
      <c r="AQ45" s="123">
        <f t="shared" si="16"/>
        <v>8352.361887416799</v>
      </c>
      <c r="AR45" s="123">
        <f t="shared" si="16"/>
        <v>11889.169182256099</v>
      </c>
      <c r="AS45" s="123">
        <f t="shared" si="16"/>
        <v>59892.89520423859</v>
      </c>
      <c r="AT45" s="123">
        <f t="shared" si="16"/>
        <v>8189.6283295680005</v>
      </c>
      <c r="AU45" s="123">
        <f t="shared" si="16"/>
        <v>4206.4049899374</v>
      </c>
      <c r="AV45" s="123">
        <f t="shared" si="16"/>
        <v>4154.593879199999</v>
      </c>
      <c r="AW45" s="123">
        <f t="shared" si="16"/>
        <v>8764.435752444002</v>
      </c>
      <c r="AX45" s="123">
        <f t="shared" si="16"/>
        <v>3762.4052132927995</v>
      </c>
      <c r="AY45" s="123">
        <f t="shared" si="16"/>
        <v>5612.342947573599</v>
      </c>
      <c r="AZ45" s="123">
        <f t="shared" si="16"/>
        <v>2173.1614292978</v>
      </c>
      <c r="BA45" s="123">
        <f t="shared" si="16"/>
        <v>2804.2799238664</v>
      </c>
      <c r="BB45" s="123">
        <f t="shared" si="16"/>
        <v>5590.226464312001</v>
      </c>
      <c r="BC45" s="123">
        <f t="shared" si="16"/>
        <v>7255.048547190702</v>
      </c>
      <c r="BD45" s="123">
        <f t="shared" si="16"/>
        <v>7729.739939740501</v>
      </c>
      <c r="BE45" s="123">
        <f t="shared" si="16"/>
        <v>3410.873942940499</v>
      </c>
      <c r="BF45" s="123">
        <f t="shared" si="16"/>
        <v>63653.14135936369</v>
      </c>
      <c r="BG45" s="123">
        <f t="shared" si="16"/>
        <v>4143.709837587</v>
      </c>
      <c r="BH45" s="123">
        <f t="shared" si="16"/>
        <v>5382.226763490499</v>
      </c>
      <c r="BI45" s="123">
        <f aca="true" t="shared" si="17" ref="BI45:DT45">SUM(BI11:BI41)</f>
        <v>2474.709</v>
      </c>
      <c r="BJ45" s="123">
        <f t="shared" si="17"/>
        <v>3966.5632308527997</v>
      </c>
      <c r="BK45" s="123">
        <f t="shared" si="17"/>
        <v>4174.7809407413</v>
      </c>
      <c r="BL45" s="123">
        <f t="shared" si="17"/>
        <v>6540.694674466699</v>
      </c>
      <c r="BM45" s="123">
        <f t="shared" si="17"/>
        <v>6738.587074579</v>
      </c>
      <c r="BN45" s="123">
        <f t="shared" si="17"/>
        <v>12224.024604715776</v>
      </c>
      <c r="BO45" s="123">
        <f t="shared" si="17"/>
        <v>10591.955337396597</v>
      </c>
      <c r="BP45" s="123">
        <f t="shared" si="17"/>
        <v>9342.98475581027</v>
      </c>
      <c r="BQ45" s="123">
        <f t="shared" si="17"/>
        <v>7755.951579240901</v>
      </c>
      <c r="BR45" s="123">
        <f t="shared" si="17"/>
        <v>9245.0431956103</v>
      </c>
      <c r="BS45" s="123">
        <f t="shared" si="17"/>
        <v>82581.23099449114</v>
      </c>
      <c r="BT45" s="123">
        <f t="shared" si="17"/>
        <v>82581.23099449114</v>
      </c>
      <c r="BU45" s="123">
        <f t="shared" si="17"/>
        <v>8924.927769</v>
      </c>
      <c r="BV45" s="123">
        <f t="shared" si="17"/>
        <v>11565.138367000003</v>
      </c>
      <c r="BW45" s="123">
        <f t="shared" si="17"/>
        <v>9899.420496</v>
      </c>
      <c r="BX45" s="123">
        <f t="shared" si="17"/>
        <v>9723.952025000002</v>
      </c>
      <c r="BY45" s="123">
        <f t="shared" si="17"/>
        <v>5164.488928000001</v>
      </c>
      <c r="BZ45" s="123">
        <f t="shared" si="17"/>
        <v>4579.352605</v>
      </c>
      <c r="CA45" s="123">
        <f t="shared" si="17"/>
        <v>3865.7707760000003</v>
      </c>
      <c r="CB45" s="123">
        <f t="shared" si="17"/>
        <v>5705.160021000001</v>
      </c>
      <c r="CC45" s="123">
        <f t="shared" si="17"/>
        <v>8410.818239</v>
      </c>
      <c r="CD45" s="123">
        <f t="shared" si="17"/>
        <v>5427.325467000001</v>
      </c>
      <c r="CE45" s="123">
        <f t="shared" si="17"/>
        <v>4501.1648319999995</v>
      </c>
      <c r="CF45" s="123">
        <f t="shared" si="17"/>
        <v>6393.955515</v>
      </c>
      <c r="CG45" s="123">
        <f t="shared" si="17"/>
        <v>84161.47504</v>
      </c>
      <c r="CH45" s="123">
        <f t="shared" si="17"/>
        <v>2872.964695</v>
      </c>
      <c r="CI45" s="123">
        <f t="shared" si="17"/>
        <v>4838.107149</v>
      </c>
      <c r="CJ45" s="123">
        <f t="shared" si="17"/>
        <v>4901.890756999999</v>
      </c>
      <c r="CK45" s="123">
        <f t="shared" si="17"/>
        <v>3159.735887</v>
      </c>
      <c r="CL45" s="123">
        <f t="shared" si="17"/>
        <v>3942.4118939999994</v>
      </c>
      <c r="CM45" s="123">
        <f t="shared" si="17"/>
        <v>3619.914466</v>
      </c>
      <c r="CN45" s="123">
        <f t="shared" si="17"/>
        <v>8874.568251</v>
      </c>
      <c r="CO45" s="123">
        <f t="shared" si="17"/>
        <v>17950.103696000002</v>
      </c>
      <c r="CP45" s="123">
        <f t="shared" si="17"/>
        <v>13141.102649</v>
      </c>
      <c r="CQ45" s="123">
        <f t="shared" si="17"/>
        <v>17955.919846999997</v>
      </c>
      <c r="CR45" s="123">
        <f t="shared" si="17"/>
        <v>21022.08695099999</v>
      </c>
      <c r="CS45" s="123">
        <f t="shared" si="17"/>
        <v>22317.677754999997</v>
      </c>
      <c r="CT45" s="123">
        <f t="shared" si="17"/>
        <v>124596.48399699999</v>
      </c>
      <c r="CU45" s="123">
        <f t="shared" si="17"/>
        <v>6824.37054</v>
      </c>
      <c r="CV45" s="123">
        <f t="shared" si="17"/>
        <v>10886.131946</v>
      </c>
      <c r="CW45" s="123">
        <f t="shared" si="17"/>
        <v>12212.965601</v>
      </c>
      <c r="CX45" s="123">
        <f t="shared" si="17"/>
        <v>6638.379490999999</v>
      </c>
      <c r="CY45" s="123">
        <f t="shared" si="17"/>
        <v>7217.4693472814015</v>
      </c>
      <c r="CZ45" s="123">
        <f t="shared" si="17"/>
        <v>6150.314885000001</v>
      </c>
      <c r="DA45" s="123">
        <f t="shared" si="17"/>
        <v>14966.568022</v>
      </c>
      <c r="DB45" s="123">
        <f t="shared" si="17"/>
        <v>15504.568687000003</v>
      </c>
      <c r="DC45" s="123">
        <f t="shared" si="17"/>
        <v>28715.902062999994</v>
      </c>
      <c r="DD45" s="123">
        <f t="shared" si="17"/>
        <v>19997.288081000002</v>
      </c>
      <c r="DE45" s="123">
        <f t="shared" si="17"/>
        <v>13246.05142</v>
      </c>
      <c r="DF45" s="123">
        <f t="shared" si="17"/>
        <v>13990.416629000001</v>
      </c>
      <c r="DG45" s="123">
        <f t="shared" si="17"/>
        <v>156350.42671228142</v>
      </c>
      <c r="DH45" s="123">
        <f t="shared" si="17"/>
        <v>11355.951678496058</v>
      </c>
      <c r="DI45" s="123">
        <f t="shared" si="17"/>
        <v>8549.362581</v>
      </c>
      <c r="DJ45" s="123">
        <f t="shared" si="17"/>
        <v>13093.027414000002</v>
      </c>
      <c r="DK45" s="123">
        <f t="shared" si="17"/>
        <v>9159.500000000002</v>
      </c>
      <c r="DL45" s="123">
        <f t="shared" si="17"/>
        <v>10099.691640000001</v>
      </c>
      <c r="DM45" s="123">
        <f t="shared" si="17"/>
        <v>10358.300000000001</v>
      </c>
      <c r="DN45" s="123">
        <f t="shared" si="17"/>
        <v>20231.999999999996</v>
      </c>
      <c r="DO45" s="123">
        <f t="shared" si="17"/>
        <v>22801.400993</v>
      </c>
      <c r="DP45" s="123">
        <f t="shared" si="17"/>
        <v>25282.943582999997</v>
      </c>
      <c r="DQ45" s="123">
        <f t="shared" si="17"/>
        <v>23421.860026</v>
      </c>
      <c r="DR45" s="123">
        <f t="shared" si="17"/>
        <v>23373.636689999992</v>
      </c>
      <c r="DS45" s="123">
        <f t="shared" si="17"/>
        <v>16575.864461</v>
      </c>
      <c r="DT45" s="123">
        <f t="shared" si="17"/>
        <v>194303.53906649607</v>
      </c>
      <c r="DU45" s="123">
        <f aca="true" t="shared" si="18" ref="DU45:EF45">SUM(DU11:DU41)</f>
        <v>14810.676583999999</v>
      </c>
      <c r="DV45" s="123">
        <f t="shared" si="18"/>
        <v>9993.03359985</v>
      </c>
      <c r="DW45" s="123">
        <f t="shared" si="18"/>
        <v>9903.408518000004</v>
      </c>
      <c r="DX45" s="123">
        <f t="shared" si="18"/>
        <v>7366.910214</v>
      </c>
      <c r="DY45" s="123">
        <f t="shared" si="18"/>
        <v>10347.027087860222</v>
      </c>
      <c r="DZ45" s="123">
        <f t="shared" si="18"/>
        <v>7685.82689381548</v>
      </c>
      <c r="EA45" s="123">
        <f t="shared" si="18"/>
        <v>10535.545053161593</v>
      </c>
      <c r="EB45" s="123">
        <f t="shared" si="18"/>
        <v>12416.64598231457</v>
      </c>
      <c r="EC45" s="123">
        <f t="shared" si="18"/>
        <v>14310.164222568066</v>
      </c>
      <c r="ED45" s="123">
        <f t="shared" si="18"/>
        <v>16166.93005513134</v>
      </c>
      <c r="EE45" s="123">
        <f t="shared" si="18"/>
        <v>12264.788163586067</v>
      </c>
      <c r="EF45" s="123">
        <f t="shared" si="18"/>
        <v>20456.137791810364</v>
      </c>
      <c r="EG45" s="206">
        <f aca="true" t="shared" si="19" ref="EG45:FN45">SUM(EG11:EG41)</f>
        <v>146257.0941660977</v>
      </c>
      <c r="EH45" s="206">
        <f t="shared" si="19"/>
        <v>11022.834434036156</v>
      </c>
      <c r="EI45" s="206">
        <f t="shared" si="19"/>
        <v>10073.804334071478</v>
      </c>
      <c r="EJ45" s="219">
        <f t="shared" si="19"/>
        <v>10494.335594192999</v>
      </c>
      <c r="EK45" s="206">
        <f t="shared" si="19"/>
        <v>10754.946712097455</v>
      </c>
      <c r="EL45" s="206">
        <f t="shared" si="19"/>
        <v>14986.028791179997</v>
      </c>
      <c r="EM45" s="206">
        <f t="shared" si="19"/>
        <v>11779.91153932951</v>
      </c>
      <c r="EN45" s="206">
        <f t="shared" si="19"/>
        <v>18750.86947593</v>
      </c>
      <c r="EO45" s="206">
        <f t="shared" si="19"/>
        <v>20919.37732674001</v>
      </c>
      <c r="EP45" s="206">
        <f t="shared" si="19"/>
        <v>24021.30052135999</v>
      </c>
      <c r="EQ45" s="206">
        <f t="shared" si="19"/>
        <v>23118.119894</v>
      </c>
      <c r="ER45" s="206">
        <f t="shared" si="19"/>
        <v>26225.580785</v>
      </c>
      <c r="ES45" s="206">
        <f t="shared" si="19"/>
        <v>21696.457692000004</v>
      </c>
      <c r="ET45" s="206">
        <f t="shared" si="19"/>
        <v>146257.0941660977</v>
      </c>
      <c r="EU45" s="206">
        <f t="shared" si="19"/>
        <v>203843.56709993762</v>
      </c>
      <c r="EV45" s="206">
        <f t="shared" si="19"/>
        <v>13888.07502</v>
      </c>
      <c r="EW45" s="206">
        <f t="shared" si="19"/>
        <v>13712.73231</v>
      </c>
      <c r="EX45" s="206">
        <f t="shared" si="19"/>
        <v>12196.867211</v>
      </c>
      <c r="EY45" s="206">
        <f t="shared" si="19"/>
        <v>11018.53636</v>
      </c>
      <c r="EZ45" s="206">
        <f t="shared" si="19"/>
        <v>9018.673539</v>
      </c>
      <c r="FA45" s="206">
        <f t="shared" si="19"/>
        <v>15920.400134999998</v>
      </c>
      <c r="FB45" s="206">
        <f t="shared" si="19"/>
        <v>15731.216506139828</v>
      </c>
      <c r="FC45" s="206">
        <f t="shared" si="19"/>
        <v>19487.991923</v>
      </c>
      <c r="FD45" s="206">
        <f t="shared" si="19"/>
        <v>21436.180928188078</v>
      </c>
      <c r="FE45" s="206">
        <f t="shared" si="19"/>
        <v>17481.004746998136</v>
      </c>
      <c r="FF45" s="206">
        <f t="shared" si="19"/>
        <v>21803.027841000003</v>
      </c>
      <c r="FG45" s="286">
        <f t="shared" si="19"/>
        <v>18250.921903065755</v>
      </c>
      <c r="FH45" s="206">
        <f t="shared" si="19"/>
        <v>15722.426893807798</v>
      </c>
      <c r="FI45" s="206">
        <f t="shared" si="19"/>
        <v>21516.318953</v>
      </c>
      <c r="FJ45" s="206">
        <f t="shared" si="19"/>
        <v>13608.959265999998</v>
      </c>
      <c r="FK45" s="206">
        <f t="shared" si="19"/>
        <v>11209.505389999998</v>
      </c>
      <c r="FL45" s="206">
        <f t="shared" si="19"/>
        <v>11941.057299129998</v>
      </c>
      <c r="FM45" s="206">
        <f t="shared" si="19"/>
        <v>11384.020592999997</v>
      </c>
      <c r="FN45" s="206">
        <f t="shared" si="19"/>
        <v>17881.22184</v>
      </c>
      <c r="FO45" s="206">
        <f>SUM(FO11:FO41)</f>
        <v>22490.703001999995</v>
      </c>
      <c r="FP45" s="206">
        <f>SUM(FP11:FP41)</f>
        <v>19592.121552999997</v>
      </c>
      <c r="FQ45" s="206">
        <f>SUM(FQ11:FQ41)</f>
        <v>18988.423842999997</v>
      </c>
      <c r="FR45" s="206">
        <f>SUM(FR11:FR41)</f>
        <v>20905.783169</v>
      </c>
      <c r="FS45" s="206">
        <f>SUM(FS11:FS44)</f>
        <v>21069.007074000005</v>
      </c>
      <c r="FT45" s="206">
        <f aca="true" t="shared" si="20" ref="FT45:GS45">SUM(FT11:FT44)</f>
        <v>17859.169552</v>
      </c>
      <c r="FU45" s="206">
        <f t="shared" si="20"/>
        <v>15571.059759</v>
      </c>
      <c r="FV45" s="206">
        <f t="shared" si="20"/>
        <v>15726.988459</v>
      </c>
      <c r="FW45" s="206">
        <f t="shared" si="20"/>
        <v>13793.432963000007</v>
      </c>
      <c r="FX45" s="206">
        <f t="shared" si="20"/>
        <v>18095.033853</v>
      </c>
      <c r="FY45" s="206">
        <f t="shared" si="20"/>
        <v>17548.931418</v>
      </c>
      <c r="FZ45" s="206">
        <f t="shared" si="20"/>
        <v>24510.779132800002</v>
      </c>
      <c r="GA45" s="206">
        <f t="shared" si="20"/>
        <v>23139.536819000004</v>
      </c>
      <c r="GB45" s="206">
        <f t="shared" si="20"/>
        <v>27754.648238999987</v>
      </c>
      <c r="GC45" s="206">
        <f t="shared" si="20"/>
        <v>67180.924695</v>
      </c>
      <c r="GD45" s="206">
        <f t="shared" si="20"/>
        <v>27332.435000999998</v>
      </c>
      <c r="GE45" s="206">
        <f t="shared" si="20"/>
        <v>29987.203707</v>
      </c>
      <c r="GF45" s="206">
        <f t="shared" si="20"/>
        <v>30445.721602999976</v>
      </c>
      <c r="GG45" s="206">
        <f t="shared" si="20"/>
        <v>56778.459912000006</v>
      </c>
      <c r="GH45" s="206">
        <f t="shared" si="20"/>
        <v>20966.043851000002</v>
      </c>
      <c r="GI45" s="206">
        <f t="shared" si="20"/>
        <v>22222.020563</v>
      </c>
      <c r="GJ45" s="206">
        <f t="shared" si="20"/>
        <v>0</v>
      </c>
      <c r="GK45" s="206">
        <f t="shared" si="20"/>
        <v>0</v>
      </c>
      <c r="GL45" s="206">
        <f t="shared" si="20"/>
        <v>0</v>
      </c>
      <c r="GM45" s="206">
        <f t="shared" si="20"/>
        <v>0</v>
      </c>
      <c r="GN45" s="206">
        <f t="shared" si="20"/>
        <v>0</v>
      </c>
      <c r="GO45" s="206">
        <f t="shared" si="20"/>
        <v>0</v>
      </c>
      <c r="GP45" s="206">
        <f t="shared" si="20"/>
        <v>0</v>
      </c>
      <c r="GQ45" s="206">
        <f t="shared" si="20"/>
        <v>0</v>
      </c>
      <c r="GR45" s="206">
        <f t="shared" si="20"/>
        <v>62950.650733</v>
      </c>
      <c r="GS45" s="206">
        <f t="shared" si="20"/>
        <v>130412.24592899997</v>
      </c>
    </row>
    <row r="46" spans="1:201" ht="15.75">
      <c r="A46" s="92"/>
      <c r="B46" s="93"/>
      <c r="C46" s="94"/>
      <c r="D46" s="95"/>
      <c r="E46" s="96"/>
      <c r="F46" s="97"/>
      <c r="G46" s="97"/>
      <c r="H46" s="97"/>
      <c r="I46" s="53"/>
      <c r="J46" s="19"/>
      <c r="K46" s="53"/>
      <c r="L46" s="98"/>
      <c r="M46" s="98"/>
      <c r="N46" s="98"/>
      <c r="O46" s="99"/>
      <c r="P46" s="54"/>
      <c r="Q46" s="54"/>
      <c r="R46" s="126"/>
      <c r="S46" s="54"/>
      <c r="T46" s="56"/>
      <c r="U46" s="56"/>
      <c r="V46" s="56"/>
      <c r="W46" s="100"/>
      <c r="X46" s="127"/>
      <c r="Y46" s="53"/>
      <c r="Z46" s="128"/>
      <c r="AA46" s="128"/>
      <c r="AB46" s="128"/>
      <c r="AC46" s="128"/>
      <c r="AD46" s="128"/>
      <c r="AE46" s="128"/>
      <c r="AF46" s="128"/>
      <c r="AG46" s="54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30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102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27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0"/>
      <c r="DX46" s="50"/>
      <c r="DY46" s="50"/>
      <c r="DZ46" s="50"/>
      <c r="EA46" s="54"/>
      <c r="EB46" s="50"/>
      <c r="EC46" s="50"/>
      <c r="ED46" s="50"/>
      <c r="EE46" s="50"/>
      <c r="EF46" s="50"/>
      <c r="EG46" s="50"/>
      <c r="EH46" s="50"/>
      <c r="EI46" s="50"/>
      <c r="EJ46" s="51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284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269"/>
      <c r="FT46" s="269"/>
      <c r="FU46" s="269"/>
      <c r="FV46" s="269"/>
      <c r="FW46" s="269"/>
      <c r="FX46" s="269"/>
      <c r="FY46" s="269"/>
      <c r="FZ46" s="269"/>
      <c r="GA46" s="269"/>
      <c r="GB46" s="269"/>
      <c r="GC46" s="269"/>
      <c r="GD46" s="269"/>
      <c r="GE46" s="269"/>
      <c r="GF46" s="269"/>
      <c r="GG46" s="269"/>
      <c r="GH46" s="269"/>
      <c r="GI46" s="269"/>
      <c r="GJ46" s="269"/>
      <c r="GK46" s="269"/>
      <c r="GL46" s="269"/>
      <c r="GM46" s="269"/>
      <c r="GN46" s="269"/>
      <c r="GO46" s="269"/>
      <c r="GP46" s="269"/>
      <c r="GQ46" s="269"/>
      <c r="GR46" s="50"/>
      <c r="GS46" s="50"/>
    </row>
    <row r="47" spans="1:204" ht="15.75">
      <c r="A47" s="180"/>
      <c r="B47" s="181"/>
      <c r="C47" s="111"/>
      <c r="D47" s="221"/>
      <c r="E47" s="222"/>
      <c r="F47" s="111"/>
      <c r="G47" s="111"/>
      <c r="H47" s="111"/>
      <c r="I47" s="12"/>
      <c r="J47" s="12"/>
      <c r="K47" s="12"/>
      <c r="L47" s="223"/>
      <c r="M47" s="223"/>
      <c r="N47" s="223"/>
      <c r="O47" s="224"/>
      <c r="P47" s="14"/>
      <c r="Q47" s="14"/>
      <c r="R47" s="130"/>
      <c r="S47" s="14"/>
      <c r="T47" s="14"/>
      <c r="U47" s="14"/>
      <c r="V47" s="1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0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0"/>
      <c r="DX47" s="10"/>
      <c r="DY47" s="10"/>
      <c r="DZ47" s="10"/>
      <c r="EA47" s="14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278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271"/>
      <c r="FT47" s="271"/>
      <c r="FU47" s="271"/>
      <c r="FV47" s="271"/>
      <c r="FW47" s="271"/>
      <c r="FX47" s="271"/>
      <c r="FY47" s="271"/>
      <c r="FZ47" s="271"/>
      <c r="GA47" s="271"/>
      <c r="GB47" s="271"/>
      <c r="GC47" s="271"/>
      <c r="GD47" s="271"/>
      <c r="GE47" s="271"/>
      <c r="GF47" s="271"/>
      <c r="GG47" s="271"/>
      <c r="GH47" s="271"/>
      <c r="GI47" s="271"/>
      <c r="GJ47" s="271"/>
      <c r="GK47" s="271"/>
      <c r="GL47" s="271"/>
      <c r="GM47" s="271"/>
      <c r="GN47" s="271"/>
      <c r="GO47" s="271"/>
      <c r="GP47" s="271"/>
      <c r="GQ47" s="271"/>
      <c r="GR47" s="10"/>
      <c r="GS47" s="200"/>
      <c r="GU47" s="234"/>
      <c r="GV47" s="234"/>
    </row>
    <row r="48" spans="1:201" ht="15.75">
      <c r="A48" s="309" t="s">
        <v>121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0"/>
      <c r="CC48" s="310"/>
      <c r="CD48" s="310"/>
      <c r="CE48" s="310"/>
      <c r="CF48" s="310"/>
      <c r="CG48" s="310"/>
      <c r="CH48" s="310"/>
      <c r="CI48" s="310"/>
      <c r="CJ48" s="310"/>
      <c r="CK48" s="310"/>
      <c r="CL48" s="310"/>
      <c r="CM48" s="310"/>
      <c r="CN48" s="310"/>
      <c r="CO48" s="310"/>
      <c r="CP48" s="310"/>
      <c r="CQ48" s="310"/>
      <c r="CR48" s="310"/>
      <c r="CS48" s="310"/>
      <c r="CT48" s="310"/>
      <c r="CU48" s="310"/>
      <c r="CV48" s="310"/>
      <c r="CW48" s="310"/>
      <c r="CX48" s="310"/>
      <c r="CY48" s="310"/>
      <c r="CZ48" s="310"/>
      <c r="DA48" s="310"/>
      <c r="DB48" s="310"/>
      <c r="DC48" s="310"/>
      <c r="DD48" s="310"/>
      <c r="DE48" s="310"/>
      <c r="DF48" s="310"/>
      <c r="DG48" s="31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07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279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8"/>
      <c r="GS48" s="59"/>
    </row>
    <row r="49" spans="1:201" ht="15.75">
      <c r="A49" s="309" t="s">
        <v>131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0"/>
      <c r="CS49" s="310"/>
      <c r="CT49" s="310"/>
      <c r="CU49" s="310"/>
      <c r="CV49" s="310"/>
      <c r="CW49" s="310"/>
      <c r="CX49" s="310"/>
      <c r="CY49" s="310"/>
      <c r="CZ49" s="310"/>
      <c r="DA49" s="310"/>
      <c r="DB49" s="310"/>
      <c r="DC49" s="310"/>
      <c r="DD49" s="310"/>
      <c r="DE49" s="310"/>
      <c r="DF49" s="310"/>
      <c r="DG49" s="31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279"/>
      <c r="FH49" s="8"/>
      <c r="FI49" s="8"/>
      <c r="FJ49" s="8"/>
      <c r="FK49" s="8"/>
      <c r="FL49" s="248"/>
      <c r="FM49" s="248"/>
      <c r="FN49" s="248"/>
      <c r="FO49" s="248"/>
      <c r="FP49" s="248"/>
      <c r="FQ49" s="248"/>
      <c r="FR49" s="248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8"/>
      <c r="GS49" s="59"/>
    </row>
    <row r="50" spans="1:201" ht="15.75">
      <c r="A50" s="51"/>
      <c r="B50" s="7"/>
      <c r="C50" s="19"/>
      <c r="D50" s="13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33"/>
      <c r="P50" s="6"/>
      <c r="Q50" s="6"/>
      <c r="R50" s="134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7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6"/>
      <c r="DU50" s="6"/>
      <c r="DV50" s="6"/>
      <c r="DW50" s="7"/>
      <c r="DX50" s="7"/>
      <c r="DY50" s="7"/>
      <c r="DZ50" s="7"/>
      <c r="EA50" s="6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280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273"/>
      <c r="FT50" s="273"/>
      <c r="FU50" s="273"/>
      <c r="FV50" s="273"/>
      <c r="FW50" s="273"/>
      <c r="FX50" s="273"/>
      <c r="FY50" s="273"/>
      <c r="FZ50" s="273"/>
      <c r="GA50" s="273"/>
      <c r="GB50" s="273"/>
      <c r="GC50" s="273"/>
      <c r="GD50" s="273"/>
      <c r="GE50" s="273"/>
      <c r="GF50" s="273"/>
      <c r="GG50" s="273"/>
      <c r="GH50" s="273"/>
      <c r="GI50" s="273"/>
      <c r="GJ50" s="273"/>
      <c r="GK50" s="273"/>
      <c r="GL50" s="273"/>
      <c r="GM50" s="273"/>
      <c r="GN50" s="273"/>
      <c r="GO50" s="273"/>
      <c r="GP50" s="273"/>
      <c r="GQ50" s="273"/>
      <c r="GR50" s="245"/>
      <c r="GS50" s="246"/>
    </row>
    <row r="51" spans="1:201" ht="15.75">
      <c r="A51" s="21"/>
      <c r="B51" s="21"/>
      <c r="C51" s="34"/>
      <c r="D51" s="34"/>
      <c r="E51" s="34"/>
      <c r="F51" s="34"/>
      <c r="G51" s="34"/>
      <c r="H51" s="34"/>
      <c r="I51" s="34" t="s">
        <v>65</v>
      </c>
      <c r="J51" s="35"/>
      <c r="K51" s="34"/>
      <c r="L51" s="136"/>
      <c r="M51" s="136"/>
      <c r="N51" s="137"/>
      <c r="O51" s="70"/>
      <c r="P51" s="70"/>
      <c r="Q51" s="70"/>
      <c r="R51" s="220"/>
      <c r="S51" s="70"/>
      <c r="T51" s="138"/>
      <c r="U51" s="138"/>
      <c r="V51" s="138"/>
      <c r="W51" s="70"/>
      <c r="X51" s="138"/>
      <c r="Y51" s="70"/>
      <c r="Z51" s="138"/>
      <c r="AA51" s="138"/>
      <c r="AB51" s="138"/>
      <c r="AC51" s="138"/>
      <c r="AD51" s="138"/>
      <c r="AE51" s="138"/>
      <c r="AF51" s="138"/>
      <c r="AG51" s="27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141"/>
      <c r="BH51" s="141"/>
      <c r="BI51" s="141"/>
      <c r="BJ51" s="141"/>
      <c r="BK51" s="70"/>
      <c r="BL51" s="70"/>
      <c r="BM51" s="70"/>
      <c r="BN51" s="70"/>
      <c r="BO51" s="70"/>
      <c r="BP51" s="70"/>
      <c r="BQ51" s="70"/>
      <c r="BR51" s="70"/>
      <c r="BS51" s="70"/>
      <c r="BT51" s="69"/>
      <c r="BU51" s="68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43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138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43"/>
      <c r="DX51" s="43"/>
      <c r="DY51" s="43"/>
      <c r="DZ51" s="21"/>
      <c r="EA51" s="27"/>
      <c r="EB51" s="43"/>
      <c r="EC51" s="43"/>
      <c r="ED51" s="43"/>
      <c r="EE51" s="43"/>
      <c r="EF51" s="43"/>
      <c r="EG51" s="43"/>
      <c r="EH51" s="43"/>
      <c r="EI51" s="43"/>
      <c r="EJ51" s="21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285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275"/>
      <c r="FT51" s="275"/>
      <c r="FU51" s="275"/>
      <c r="FV51" s="275"/>
      <c r="FW51" s="275"/>
      <c r="FX51" s="275"/>
      <c r="FY51" s="275"/>
      <c r="FZ51" s="275"/>
      <c r="GA51" s="275"/>
      <c r="GB51" s="275"/>
      <c r="GC51" s="275"/>
      <c r="GD51" s="275"/>
      <c r="GE51" s="275"/>
      <c r="GF51" s="275"/>
      <c r="GG51" s="275"/>
      <c r="GH51" s="275"/>
      <c r="GI51" s="275"/>
      <c r="GJ51" s="275"/>
      <c r="GK51" s="275"/>
      <c r="GL51" s="275"/>
      <c r="GM51" s="275"/>
      <c r="GN51" s="275"/>
      <c r="GO51" s="275"/>
      <c r="GP51" s="275"/>
      <c r="GQ51" s="275"/>
      <c r="GR51" s="43"/>
      <c r="GS51" s="42"/>
    </row>
    <row r="52" spans="1:201" ht="15.75">
      <c r="A52" s="31" t="s">
        <v>12</v>
      </c>
      <c r="B52" s="31" t="s">
        <v>13</v>
      </c>
      <c r="C52" s="142">
        <v>1</v>
      </c>
      <c r="D52" s="142"/>
      <c r="E52" s="142">
        <v>4</v>
      </c>
      <c r="F52" s="142">
        <v>2</v>
      </c>
      <c r="G52" s="142">
        <v>2</v>
      </c>
      <c r="H52" s="142" t="s">
        <v>66</v>
      </c>
      <c r="I52" s="142" t="s">
        <v>66</v>
      </c>
      <c r="J52" s="143" t="s">
        <v>66</v>
      </c>
      <c r="K52" s="142" t="s">
        <v>14</v>
      </c>
      <c r="L52" s="137" t="s">
        <v>14</v>
      </c>
      <c r="M52" s="136" t="s">
        <v>66</v>
      </c>
      <c r="N52" s="137" t="s">
        <v>66</v>
      </c>
      <c r="O52" s="144" t="s">
        <v>63</v>
      </c>
      <c r="P52" s="144" t="s">
        <v>63</v>
      </c>
      <c r="Q52" s="70" t="s">
        <v>63</v>
      </c>
      <c r="R52" s="70" t="s">
        <v>14</v>
      </c>
      <c r="S52" s="70" t="s">
        <v>14</v>
      </c>
      <c r="T52" s="70" t="s">
        <v>14</v>
      </c>
      <c r="U52" s="70" t="s">
        <v>14</v>
      </c>
      <c r="V52" s="70" t="s">
        <v>14</v>
      </c>
      <c r="W52" s="70" t="s">
        <v>14</v>
      </c>
      <c r="X52" s="196" t="s">
        <v>63</v>
      </c>
      <c r="Y52" s="239" t="s">
        <v>14</v>
      </c>
      <c r="Z52" s="239" t="s">
        <v>14</v>
      </c>
      <c r="AA52" s="239">
        <v>2</v>
      </c>
      <c r="AB52" s="239">
        <v>0.5850000000000001</v>
      </c>
      <c r="AC52" s="239">
        <v>1.6</v>
      </c>
      <c r="AD52" s="239">
        <v>6.08</v>
      </c>
      <c r="AE52" s="239">
        <v>12.935</v>
      </c>
      <c r="AF52" s="250">
        <v>0.06</v>
      </c>
      <c r="AG52" s="250" t="s">
        <v>14</v>
      </c>
      <c r="AH52" s="250" t="s">
        <v>14</v>
      </c>
      <c r="AI52" s="250" t="s">
        <v>14</v>
      </c>
      <c r="AJ52" s="250" t="s">
        <v>14</v>
      </c>
      <c r="AK52" s="250" t="s">
        <v>14</v>
      </c>
      <c r="AL52" s="250" t="s">
        <v>14</v>
      </c>
      <c r="AM52" s="250" t="s">
        <v>14</v>
      </c>
      <c r="AN52" s="250" t="s">
        <v>14</v>
      </c>
      <c r="AO52" s="250" t="s">
        <v>14</v>
      </c>
      <c r="AP52" s="250" t="s">
        <v>14</v>
      </c>
      <c r="AQ52" s="250" t="s">
        <v>14</v>
      </c>
      <c r="AR52" s="250" t="s">
        <v>14</v>
      </c>
      <c r="AS52" s="250" t="s">
        <v>14</v>
      </c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>
        <v>0</v>
      </c>
      <c r="BR52" s="250">
        <v>0</v>
      </c>
      <c r="BS52" s="250">
        <f aca="true" t="shared" si="21" ref="BS52:BS81">SUM(BG52:BR52)</f>
        <v>0</v>
      </c>
      <c r="BT52" s="250" t="s">
        <v>14</v>
      </c>
      <c r="BU52" s="250" t="s">
        <v>14</v>
      </c>
      <c r="BV52" s="250" t="s">
        <v>14</v>
      </c>
      <c r="BW52" s="250">
        <v>0</v>
      </c>
      <c r="BX52" s="250">
        <v>0</v>
      </c>
      <c r="BY52" s="250">
        <v>0</v>
      </c>
      <c r="BZ52" s="250">
        <v>0</v>
      </c>
      <c r="CA52" s="250">
        <v>0</v>
      </c>
      <c r="CB52" s="250">
        <v>0</v>
      </c>
      <c r="CC52" s="250">
        <v>0</v>
      </c>
      <c r="CD52" s="250">
        <v>0</v>
      </c>
      <c r="CE52" s="250">
        <v>0</v>
      </c>
      <c r="CF52" s="250">
        <v>0</v>
      </c>
      <c r="CG52" s="250" t="s">
        <v>14</v>
      </c>
      <c r="CH52" s="250" t="s">
        <v>14</v>
      </c>
      <c r="CI52" s="250" t="s">
        <v>14</v>
      </c>
      <c r="CJ52" s="250" t="s">
        <v>14</v>
      </c>
      <c r="CK52" s="250">
        <v>0</v>
      </c>
      <c r="CL52" s="250">
        <v>0</v>
      </c>
      <c r="CM52" s="250">
        <v>0</v>
      </c>
      <c r="CN52" s="250">
        <v>0</v>
      </c>
      <c r="CO52" s="250">
        <v>0</v>
      </c>
      <c r="CP52" s="250">
        <v>0</v>
      </c>
      <c r="CQ52" s="250">
        <v>0</v>
      </c>
      <c r="CR52" s="250">
        <v>0</v>
      </c>
      <c r="CS52" s="250">
        <v>0</v>
      </c>
      <c r="CT52" s="250" t="s">
        <v>14</v>
      </c>
      <c r="CU52" s="250" t="s">
        <v>14</v>
      </c>
      <c r="CV52" s="250" t="s">
        <v>14</v>
      </c>
      <c r="CW52" s="250" t="s">
        <v>14</v>
      </c>
      <c r="CX52" s="250" t="s">
        <v>14</v>
      </c>
      <c r="CY52" s="250" t="s">
        <v>14</v>
      </c>
      <c r="CZ52" s="250" t="s">
        <v>14</v>
      </c>
      <c r="DA52" s="250" t="s">
        <v>14</v>
      </c>
      <c r="DB52" s="250" t="s">
        <v>14</v>
      </c>
      <c r="DC52" s="250" t="s">
        <v>14</v>
      </c>
      <c r="DD52" s="250" t="s">
        <v>14</v>
      </c>
      <c r="DE52" s="250" t="s">
        <v>14</v>
      </c>
      <c r="DF52" s="250" t="s">
        <v>14</v>
      </c>
      <c r="DG52" s="250" t="s">
        <v>14</v>
      </c>
      <c r="DH52" s="250" t="s">
        <v>14</v>
      </c>
      <c r="DI52" s="250" t="s">
        <v>14</v>
      </c>
      <c r="DJ52" s="250">
        <v>0</v>
      </c>
      <c r="DK52" s="250">
        <v>0</v>
      </c>
      <c r="DL52" s="250">
        <v>0</v>
      </c>
      <c r="DM52" s="250">
        <v>0</v>
      </c>
      <c r="DN52" s="250">
        <v>0</v>
      </c>
      <c r="DO52" s="250">
        <v>1.5</v>
      </c>
      <c r="DP52" s="250">
        <v>0.5</v>
      </c>
      <c r="DQ52" s="250">
        <v>0</v>
      </c>
      <c r="DR52" s="250">
        <v>0</v>
      </c>
      <c r="DS52" s="250">
        <v>0</v>
      </c>
      <c r="DT52" s="250">
        <f>SUM(DH52:DS52)</f>
        <v>2</v>
      </c>
      <c r="DU52" s="250">
        <v>0.025</v>
      </c>
      <c r="DV52" s="250"/>
      <c r="DW52" s="250"/>
      <c r="DX52" s="250">
        <v>0.05</v>
      </c>
      <c r="DY52" s="250">
        <v>0.21</v>
      </c>
      <c r="DZ52" s="250">
        <v>0.085</v>
      </c>
      <c r="EA52" s="250">
        <v>0.015</v>
      </c>
      <c r="EB52" s="250"/>
      <c r="EC52" s="250">
        <v>0.1</v>
      </c>
      <c r="ED52" s="250"/>
      <c r="EE52" s="250"/>
      <c r="EF52" s="250">
        <v>0.1</v>
      </c>
      <c r="EG52" s="250">
        <f aca="true" t="shared" si="22" ref="EG52:EG82">+SUM(DU52:EF52)</f>
        <v>0.5850000000000001</v>
      </c>
      <c r="EH52" s="250">
        <v>0.085</v>
      </c>
      <c r="EI52" s="250">
        <v>0.3</v>
      </c>
      <c r="EJ52" s="250">
        <v>0.075</v>
      </c>
      <c r="EK52" s="250"/>
      <c r="EL52" s="250">
        <v>0.115</v>
      </c>
      <c r="EM52" s="250"/>
      <c r="EN52" s="250"/>
      <c r="EO52" s="250">
        <v>0.875</v>
      </c>
      <c r="EP52" s="250">
        <v>0.15</v>
      </c>
      <c r="EQ52" s="250"/>
      <c r="ER52" s="250"/>
      <c r="ES52" s="250"/>
      <c r="ET52" s="250">
        <f>+SUM(DU52:EF52)</f>
        <v>0.5850000000000001</v>
      </c>
      <c r="EU52" s="250">
        <f aca="true" t="shared" si="23" ref="EU52:EU82">+SUM(EH52:ES52)</f>
        <v>1.6</v>
      </c>
      <c r="EV52" s="250">
        <v>2</v>
      </c>
      <c r="EW52" s="250">
        <v>0.25</v>
      </c>
      <c r="EX52" s="250"/>
      <c r="EY52" s="250">
        <v>1.26</v>
      </c>
      <c r="EZ52" s="250"/>
      <c r="FA52" s="250">
        <v>0.2</v>
      </c>
      <c r="FB52" s="250">
        <v>0.02</v>
      </c>
      <c r="FC52" s="250">
        <v>0.05</v>
      </c>
      <c r="FD52" s="250">
        <v>2.3</v>
      </c>
      <c r="FE52" s="250"/>
      <c r="FF52" s="250"/>
      <c r="FG52" s="261"/>
      <c r="FH52" s="250"/>
      <c r="FI52" s="250">
        <v>0.2</v>
      </c>
      <c r="FJ52" s="250">
        <v>1.2</v>
      </c>
      <c r="FK52" s="250">
        <v>8</v>
      </c>
      <c r="FL52" s="250">
        <v>0.27</v>
      </c>
      <c r="FM52" s="250">
        <v>2.865</v>
      </c>
      <c r="FN52" s="250">
        <v>0.4</v>
      </c>
      <c r="FO52" s="250"/>
      <c r="FP52" s="250"/>
      <c r="FQ52" s="250"/>
      <c r="FR52" s="250"/>
      <c r="FS52" s="250"/>
      <c r="FT52" s="250"/>
      <c r="FU52" s="250"/>
      <c r="FV52" s="250"/>
      <c r="FW52" s="250">
        <v>0.06</v>
      </c>
      <c r="FX52" s="250"/>
      <c r="FY52" s="250">
        <v>0</v>
      </c>
      <c r="FZ52" s="250"/>
      <c r="GA52" s="250"/>
      <c r="GB52" s="250"/>
      <c r="GC52" s="250"/>
      <c r="GD52" s="250"/>
      <c r="GE52" s="250"/>
      <c r="GF52" s="250"/>
      <c r="GG52" s="250">
        <v>0</v>
      </c>
      <c r="GH52" s="250">
        <v>0</v>
      </c>
      <c r="GI52" s="250">
        <v>0</v>
      </c>
      <c r="GJ52" s="250"/>
      <c r="GK52" s="250"/>
      <c r="GL52" s="250"/>
      <c r="GM52" s="250"/>
      <c r="GN52" s="250"/>
      <c r="GO52" s="250"/>
      <c r="GP52" s="250"/>
      <c r="GQ52" s="250"/>
      <c r="GR52" s="250">
        <f>+FT52+FU52+FV52+FW52</f>
        <v>0.06</v>
      </c>
      <c r="GS52" s="239">
        <f>+GF52+GG52+GH52+GI52</f>
        <v>0</v>
      </c>
    </row>
    <row r="53" spans="1:201" s="84" customFormat="1" ht="15.75">
      <c r="A53" s="74" t="s">
        <v>15</v>
      </c>
      <c r="B53" s="74" t="s">
        <v>67</v>
      </c>
      <c r="C53" s="146">
        <v>2</v>
      </c>
      <c r="D53" s="146"/>
      <c r="E53" s="146">
        <v>2</v>
      </c>
      <c r="F53" s="146">
        <v>2</v>
      </c>
      <c r="G53" s="146">
        <v>2</v>
      </c>
      <c r="H53" s="146" t="s">
        <v>66</v>
      </c>
      <c r="I53" s="146">
        <v>1</v>
      </c>
      <c r="J53" s="147" t="s">
        <v>66</v>
      </c>
      <c r="K53" s="146" t="s">
        <v>14</v>
      </c>
      <c r="L53" s="148" t="s">
        <v>66</v>
      </c>
      <c r="M53" s="149" t="s">
        <v>66</v>
      </c>
      <c r="N53" s="148">
        <v>4</v>
      </c>
      <c r="O53" s="150" t="s">
        <v>63</v>
      </c>
      <c r="P53" s="150" t="s">
        <v>63</v>
      </c>
      <c r="Q53" s="151">
        <v>4</v>
      </c>
      <c r="R53" s="145" t="s">
        <v>14</v>
      </c>
      <c r="S53" s="145" t="s">
        <v>14</v>
      </c>
      <c r="T53" s="145">
        <v>6</v>
      </c>
      <c r="U53" s="145">
        <v>6.1</v>
      </c>
      <c r="V53" s="145">
        <v>11.417000000000002</v>
      </c>
      <c r="W53" s="145">
        <v>10</v>
      </c>
      <c r="X53" s="196">
        <v>11</v>
      </c>
      <c r="Y53" s="239" t="s">
        <v>14</v>
      </c>
      <c r="Z53" s="239" t="s">
        <v>14</v>
      </c>
      <c r="AA53" s="239">
        <v>28.34</v>
      </c>
      <c r="AB53" s="239">
        <v>7.017</v>
      </c>
      <c r="AC53" s="239">
        <v>6.985</v>
      </c>
      <c r="AD53" s="239">
        <v>6.635999999999999</v>
      </c>
      <c r="AE53" s="239">
        <v>3.388</v>
      </c>
      <c r="AF53" s="250">
        <v>0</v>
      </c>
      <c r="AG53" s="250">
        <v>0</v>
      </c>
      <c r="AH53" s="250">
        <v>0</v>
      </c>
      <c r="AI53" s="250">
        <v>0</v>
      </c>
      <c r="AJ53" s="250">
        <v>1</v>
      </c>
      <c r="AK53" s="250">
        <v>1</v>
      </c>
      <c r="AL53" s="250">
        <v>0</v>
      </c>
      <c r="AM53" s="250">
        <v>1</v>
      </c>
      <c r="AN53" s="250">
        <v>0</v>
      </c>
      <c r="AO53" s="250">
        <v>0</v>
      </c>
      <c r="AP53" s="250">
        <v>1.3</v>
      </c>
      <c r="AQ53" s="250"/>
      <c r="AR53" s="250">
        <v>1.8</v>
      </c>
      <c r="AS53" s="250">
        <f aca="true" t="shared" si="24" ref="AS53:AS84">SUM(AG53:AR53)</f>
        <v>6.1</v>
      </c>
      <c r="AT53" s="250">
        <v>0.8</v>
      </c>
      <c r="AU53" s="250">
        <v>1.6</v>
      </c>
      <c r="AV53" s="250">
        <v>1.375</v>
      </c>
      <c r="AW53" s="250"/>
      <c r="AX53" s="250">
        <v>0.77</v>
      </c>
      <c r="AY53" s="250"/>
      <c r="AZ53" s="250">
        <v>1.4</v>
      </c>
      <c r="BA53" s="250">
        <v>0.792</v>
      </c>
      <c r="BB53" s="250">
        <v>0.7</v>
      </c>
      <c r="BC53" s="250">
        <v>1.1</v>
      </c>
      <c r="BD53" s="250">
        <v>2</v>
      </c>
      <c r="BE53" s="250">
        <v>0.88</v>
      </c>
      <c r="BF53" s="250">
        <f aca="true" t="shared" si="25" ref="BF53:BF82">SUM(AT53:BE53)</f>
        <v>11.417000000000002</v>
      </c>
      <c r="BG53" s="250">
        <v>1</v>
      </c>
      <c r="BH53" s="250">
        <v>1</v>
      </c>
      <c r="BI53" s="250">
        <v>0.8</v>
      </c>
      <c r="BJ53" s="250">
        <v>2</v>
      </c>
      <c r="BK53" s="250">
        <v>1.243</v>
      </c>
      <c r="BL53" s="250"/>
      <c r="BM53" s="250"/>
      <c r="BN53" s="250"/>
      <c r="BO53" s="250">
        <v>1.3</v>
      </c>
      <c r="BP53" s="250">
        <v>0.05</v>
      </c>
      <c r="BQ53" s="250">
        <v>2.5</v>
      </c>
      <c r="BR53" s="250">
        <v>0</v>
      </c>
      <c r="BS53" s="250">
        <f t="shared" si="21"/>
        <v>9.893</v>
      </c>
      <c r="BT53" s="250">
        <f>SUM(BG53:BR53)</f>
        <v>9.893</v>
      </c>
      <c r="BU53" s="250">
        <v>1</v>
      </c>
      <c r="BV53" s="250">
        <v>1</v>
      </c>
      <c r="BW53" s="250">
        <v>0</v>
      </c>
      <c r="BX53" s="250">
        <v>2</v>
      </c>
      <c r="BY53" s="250">
        <v>1</v>
      </c>
      <c r="BZ53" s="250" t="s">
        <v>63</v>
      </c>
      <c r="CA53" s="250">
        <v>1</v>
      </c>
      <c r="CB53" s="250">
        <v>0</v>
      </c>
      <c r="CC53" s="250">
        <v>1</v>
      </c>
      <c r="CD53" s="250">
        <v>1</v>
      </c>
      <c r="CE53" s="250">
        <v>2</v>
      </c>
      <c r="CF53" s="250">
        <v>1</v>
      </c>
      <c r="CG53" s="250">
        <f aca="true" t="shared" si="26" ref="CG53:CG82">SUM(BU53:CF53)</f>
        <v>11</v>
      </c>
      <c r="CH53" s="250" t="s">
        <v>14</v>
      </c>
      <c r="CI53" s="250">
        <v>0</v>
      </c>
      <c r="CJ53" s="250">
        <v>0</v>
      </c>
      <c r="CK53" s="250">
        <v>0</v>
      </c>
      <c r="CL53" s="250">
        <v>0</v>
      </c>
      <c r="CM53" s="250">
        <v>0</v>
      </c>
      <c r="CN53" s="250">
        <v>0</v>
      </c>
      <c r="CO53" s="250">
        <v>0</v>
      </c>
      <c r="CP53" s="250">
        <v>0</v>
      </c>
      <c r="CQ53" s="250">
        <v>0</v>
      </c>
      <c r="CR53" s="250">
        <v>0</v>
      </c>
      <c r="CS53" s="250">
        <v>0</v>
      </c>
      <c r="CT53" s="250" t="s">
        <v>14</v>
      </c>
      <c r="CU53" s="250" t="s">
        <v>14</v>
      </c>
      <c r="CV53" s="250" t="s">
        <v>14</v>
      </c>
      <c r="CW53" s="250" t="s">
        <v>14</v>
      </c>
      <c r="CX53" s="250" t="s">
        <v>14</v>
      </c>
      <c r="CY53" s="250" t="s">
        <v>14</v>
      </c>
      <c r="CZ53" s="250" t="s">
        <v>14</v>
      </c>
      <c r="DA53" s="250" t="s">
        <v>14</v>
      </c>
      <c r="DB53" s="250" t="s">
        <v>14</v>
      </c>
      <c r="DC53" s="250" t="s">
        <v>14</v>
      </c>
      <c r="DD53" s="250" t="s">
        <v>14</v>
      </c>
      <c r="DE53" s="250" t="s">
        <v>14</v>
      </c>
      <c r="DF53" s="250" t="s">
        <v>14</v>
      </c>
      <c r="DG53" s="250" t="s">
        <v>14</v>
      </c>
      <c r="DH53" s="250" t="s">
        <v>14</v>
      </c>
      <c r="DI53" s="250" t="s">
        <v>14</v>
      </c>
      <c r="DJ53" s="250">
        <v>0</v>
      </c>
      <c r="DK53" s="250">
        <v>0</v>
      </c>
      <c r="DL53" s="250">
        <v>9.995</v>
      </c>
      <c r="DM53" s="250">
        <v>14.9</v>
      </c>
      <c r="DN53" s="250">
        <v>0</v>
      </c>
      <c r="DO53" s="250">
        <v>1.142</v>
      </c>
      <c r="DP53" s="250">
        <v>0.5</v>
      </c>
      <c r="DQ53" s="250">
        <v>0</v>
      </c>
      <c r="DR53" s="250">
        <v>0.803</v>
      </c>
      <c r="DS53" s="250">
        <v>1</v>
      </c>
      <c r="DT53" s="250">
        <f aca="true" t="shared" si="27" ref="DT53:DT82">SUM(DH53:DS53)</f>
        <v>28.34</v>
      </c>
      <c r="DU53" s="250">
        <v>0.945</v>
      </c>
      <c r="DV53" s="250">
        <v>0.1</v>
      </c>
      <c r="DW53" s="250">
        <v>1.001</v>
      </c>
      <c r="DX53" s="250">
        <v>0.967</v>
      </c>
      <c r="DY53" s="250">
        <v>0.924</v>
      </c>
      <c r="DZ53" s="250"/>
      <c r="EA53" s="250">
        <v>0.693</v>
      </c>
      <c r="EB53" s="250"/>
      <c r="EC53" s="250"/>
      <c r="ED53" s="250">
        <v>0.484</v>
      </c>
      <c r="EE53" s="250">
        <v>1.716</v>
      </c>
      <c r="EF53" s="250">
        <v>0.187</v>
      </c>
      <c r="EG53" s="250">
        <f t="shared" si="22"/>
        <v>7.017</v>
      </c>
      <c r="EH53" s="250"/>
      <c r="EI53" s="250">
        <v>0.759</v>
      </c>
      <c r="EJ53" s="250">
        <v>0.66</v>
      </c>
      <c r="EK53" s="250">
        <v>0.275</v>
      </c>
      <c r="EL53" s="250">
        <v>0.913</v>
      </c>
      <c r="EM53" s="250"/>
      <c r="EN53" s="250">
        <v>0.956</v>
      </c>
      <c r="EO53" s="250"/>
      <c r="EP53" s="250">
        <v>1.386</v>
      </c>
      <c r="EQ53" s="250"/>
      <c r="ER53" s="250">
        <v>1.184</v>
      </c>
      <c r="ES53" s="250">
        <v>0.852</v>
      </c>
      <c r="ET53" s="250">
        <f aca="true" t="shared" si="28" ref="ET53:ET82">+SUM(DU53:EF53)</f>
        <v>7.017</v>
      </c>
      <c r="EU53" s="250">
        <f t="shared" si="23"/>
        <v>6.985</v>
      </c>
      <c r="EV53" s="250"/>
      <c r="EW53" s="250">
        <v>0.818</v>
      </c>
      <c r="EX53" s="250">
        <v>1.221</v>
      </c>
      <c r="EY53" s="250"/>
      <c r="EZ53" s="250"/>
      <c r="FA53" s="250">
        <v>1.452</v>
      </c>
      <c r="FB53" s="250">
        <v>0.418</v>
      </c>
      <c r="FC53" s="250">
        <v>0.418</v>
      </c>
      <c r="FD53" s="250">
        <v>0.736</v>
      </c>
      <c r="FE53" s="250">
        <v>0.957</v>
      </c>
      <c r="FF53" s="250">
        <v>0.616</v>
      </c>
      <c r="FG53" s="261"/>
      <c r="FH53" s="250"/>
      <c r="FI53" s="250">
        <v>1.089</v>
      </c>
      <c r="FJ53" s="250"/>
      <c r="FK53" s="250">
        <v>0.836</v>
      </c>
      <c r="FL53" s="250">
        <v>1.463</v>
      </c>
      <c r="FM53" s="250"/>
      <c r="FN53" s="250"/>
      <c r="FO53" s="250"/>
      <c r="FP53" s="250"/>
      <c r="FQ53" s="250"/>
      <c r="FR53" s="250"/>
      <c r="FS53" s="250"/>
      <c r="FT53" s="250"/>
      <c r="FU53" s="250"/>
      <c r="FV53" s="250"/>
      <c r="FW53" s="250">
        <v>0</v>
      </c>
      <c r="FX53" s="250"/>
      <c r="FY53" s="250">
        <v>0</v>
      </c>
      <c r="FZ53" s="250"/>
      <c r="GA53" s="250"/>
      <c r="GB53" s="250"/>
      <c r="GC53" s="250"/>
      <c r="GD53" s="250"/>
      <c r="GE53" s="250"/>
      <c r="GF53" s="250"/>
      <c r="GG53" s="250">
        <v>0</v>
      </c>
      <c r="GH53" s="250">
        <v>0</v>
      </c>
      <c r="GI53" s="250">
        <v>0</v>
      </c>
      <c r="GJ53" s="250"/>
      <c r="GK53" s="250"/>
      <c r="GL53" s="250"/>
      <c r="GM53" s="250"/>
      <c r="GN53" s="250"/>
      <c r="GO53" s="250"/>
      <c r="GP53" s="250"/>
      <c r="GQ53" s="250"/>
      <c r="GR53" s="250">
        <f aca="true" t="shared" si="29" ref="GR53:GR82">+FT53+FU53+FV53+FW53</f>
        <v>0</v>
      </c>
      <c r="GS53" s="239">
        <f aca="true" t="shared" si="30" ref="GS53:GS82">+GF53+GG53+GH53+GI53</f>
        <v>0</v>
      </c>
    </row>
    <row r="54" spans="1:201" ht="15.75">
      <c r="A54" s="31" t="s">
        <v>17</v>
      </c>
      <c r="B54" s="31" t="s">
        <v>18</v>
      </c>
      <c r="C54" s="142">
        <v>366</v>
      </c>
      <c r="D54" s="142"/>
      <c r="E54" s="142">
        <v>403</v>
      </c>
      <c r="F54" s="142">
        <v>322</v>
      </c>
      <c r="G54" s="142">
        <v>409</v>
      </c>
      <c r="H54" s="142">
        <v>362</v>
      </c>
      <c r="I54" s="142">
        <v>247</v>
      </c>
      <c r="J54" s="143">
        <v>227</v>
      </c>
      <c r="K54" s="142">
        <v>39</v>
      </c>
      <c r="L54" s="137">
        <v>43</v>
      </c>
      <c r="M54" s="136">
        <v>44</v>
      </c>
      <c r="N54" s="137">
        <v>47</v>
      </c>
      <c r="O54" s="153">
        <v>16</v>
      </c>
      <c r="P54" s="70">
        <v>92</v>
      </c>
      <c r="Q54" s="138">
        <v>195</v>
      </c>
      <c r="R54" s="70">
        <v>153</v>
      </c>
      <c r="S54" s="70">
        <v>130</v>
      </c>
      <c r="T54" s="138">
        <v>143</v>
      </c>
      <c r="U54" s="138">
        <v>170.785</v>
      </c>
      <c r="V54" s="70">
        <v>128.42</v>
      </c>
      <c r="W54" s="70">
        <v>96</v>
      </c>
      <c r="X54" s="196">
        <v>59.3</v>
      </c>
      <c r="Y54" s="239">
        <f aca="true" t="shared" si="31" ref="Y54:Y82">SUM(CH54:CS54)</f>
        <v>47.111999999999995</v>
      </c>
      <c r="Z54" s="239">
        <f aca="true" t="shared" si="32" ref="Z54:Z79">SUM(CU54:DF54)</f>
        <v>76.38699999999999</v>
      </c>
      <c r="AA54" s="239">
        <v>45.596999999999994</v>
      </c>
      <c r="AB54" s="239">
        <v>50.86600000000001</v>
      </c>
      <c r="AC54" s="239">
        <v>36.480000000000004</v>
      </c>
      <c r="AD54" s="239">
        <v>23.476999999999997</v>
      </c>
      <c r="AE54" s="239">
        <v>50.215</v>
      </c>
      <c r="AF54" s="239">
        <v>47.062</v>
      </c>
      <c r="AG54" s="239">
        <v>15</v>
      </c>
      <c r="AH54" s="239">
        <v>14</v>
      </c>
      <c r="AI54" s="239">
        <v>9</v>
      </c>
      <c r="AJ54" s="239">
        <v>13</v>
      </c>
      <c r="AK54" s="239">
        <v>14</v>
      </c>
      <c r="AL54" s="239">
        <v>17</v>
      </c>
      <c r="AM54" s="239">
        <v>28</v>
      </c>
      <c r="AN54" s="239">
        <v>19</v>
      </c>
      <c r="AO54" s="239">
        <f>0.1+5+6</f>
        <v>11.1</v>
      </c>
      <c r="AP54" s="239">
        <f>1.1+5+6.8</f>
        <v>12.899999999999999</v>
      </c>
      <c r="AQ54" s="239">
        <f>8.485</f>
        <v>8.485</v>
      </c>
      <c r="AR54" s="239">
        <v>9.3</v>
      </c>
      <c r="AS54" s="239">
        <f t="shared" si="24"/>
        <v>170.78500000000003</v>
      </c>
      <c r="AT54" s="239">
        <v>7.7</v>
      </c>
      <c r="AU54" s="239">
        <v>18.277</v>
      </c>
      <c r="AV54" s="239">
        <v>18</v>
      </c>
      <c r="AW54" s="239"/>
      <c r="AX54" s="239">
        <v>17</v>
      </c>
      <c r="AY54" s="239">
        <v>10.3</v>
      </c>
      <c r="AZ54" s="239">
        <v>13.4</v>
      </c>
      <c r="BA54" s="239">
        <v>12.645</v>
      </c>
      <c r="BB54" s="239"/>
      <c r="BC54" s="239">
        <v>9.37</v>
      </c>
      <c r="BD54" s="239">
        <v>12.8</v>
      </c>
      <c r="BE54" s="239">
        <v>8.928</v>
      </c>
      <c r="BF54" s="239">
        <f t="shared" si="25"/>
        <v>128.42000000000002</v>
      </c>
      <c r="BG54" s="239">
        <v>12</v>
      </c>
      <c r="BH54" s="239">
        <v>13.158</v>
      </c>
      <c r="BI54" s="239">
        <v>7.698</v>
      </c>
      <c r="BJ54" s="239">
        <v>7.045</v>
      </c>
      <c r="BK54" s="239">
        <v>15.851</v>
      </c>
      <c r="BL54" s="239">
        <v>8.41</v>
      </c>
      <c r="BM54" s="239"/>
      <c r="BN54" s="239">
        <v>6.3</v>
      </c>
      <c r="BO54" s="239">
        <v>9.6</v>
      </c>
      <c r="BP54" s="239">
        <v>8.26</v>
      </c>
      <c r="BQ54" s="239">
        <v>5.76</v>
      </c>
      <c r="BR54" s="239">
        <v>1.5</v>
      </c>
      <c r="BS54" s="239">
        <f t="shared" si="21"/>
        <v>95.58200000000001</v>
      </c>
      <c r="BT54" s="239">
        <f aca="true" t="shared" si="33" ref="BT54:BT82">SUM(BG54:BR54)</f>
        <v>95.58200000000001</v>
      </c>
      <c r="BU54" s="239">
        <v>5</v>
      </c>
      <c r="BV54" s="239">
        <v>13</v>
      </c>
      <c r="BW54" s="239">
        <v>0</v>
      </c>
      <c r="BX54" s="239">
        <v>5</v>
      </c>
      <c r="BY54" s="239">
        <v>3.3</v>
      </c>
      <c r="BZ54" s="239">
        <v>6</v>
      </c>
      <c r="CA54" s="239">
        <v>2</v>
      </c>
      <c r="CB54" s="239">
        <v>5</v>
      </c>
      <c r="CC54" s="239">
        <v>7</v>
      </c>
      <c r="CD54" s="239">
        <v>6</v>
      </c>
      <c r="CE54" s="239">
        <v>4</v>
      </c>
      <c r="CF54" s="239">
        <v>3</v>
      </c>
      <c r="CG54" s="239">
        <f t="shared" si="26"/>
        <v>59.3</v>
      </c>
      <c r="CH54" s="239">
        <v>2</v>
      </c>
      <c r="CI54" s="239">
        <v>6</v>
      </c>
      <c r="CJ54" s="239">
        <v>5</v>
      </c>
      <c r="CK54" s="239">
        <v>2</v>
      </c>
      <c r="CL54" s="239">
        <v>3</v>
      </c>
      <c r="CM54" s="239">
        <v>2.397</v>
      </c>
      <c r="CN54" s="239">
        <v>5.75</v>
      </c>
      <c r="CO54" s="239">
        <v>1</v>
      </c>
      <c r="CP54" s="239">
        <v>3.505</v>
      </c>
      <c r="CQ54" s="239">
        <v>2.46</v>
      </c>
      <c r="CR54" s="239">
        <v>1</v>
      </c>
      <c r="CS54" s="239">
        <v>13</v>
      </c>
      <c r="CT54" s="239">
        <f aca="true" t="shared" si="34" ref="CT54:CT82">SUM(CH54:CS54)</f>
        <v>47.111999999999995</v>
      </c>
      <c r="CU54" s="239">
        <v>36</v>
      </c>
      <c r="CV54" s="239">
        <v>5</v>
      </c>
      <c r="CW54" s="239">
        <v>4.6</v>
      </c>
      <c r="CX54" s="239">
        <v>2</v>
      </c>
      <c r="CY54" s="239">
        <v>6.3</v>
      </c>
      <c r="CZ54" s="239">
        <v>4.9</v>
      </c>
      <c r="DA54" s="239">
        <v>1.8</v>
      </c>
      <c r="DB54" s="239">
        <v>2.83</v>
      </c>
      <c r="DC54" s="239">
        <v>1</v>
      </c>
      <c r="DD54" s="239">
        <v>4.157</v>
      </c>
      <c r="DE54" s="239">
        <v>1.8</v>
      </c>
      <c r="DF54" s="239">
        <v>6</v>
      </c>
      <c r="DG54" s="239">
        <f>SUM(CU54:DF54)</f>
        <v>76.38699999999999</v>
      </c>
      <c r="DH54" s="239">
        <v>1.927</v>
      </c>
      <c r="DI54" s="239">
        <v>3.934</v>
      </c>
      <c r="DJ54" s="239">
        <v>4.6</v>
      </c>
      <c r="DK54" s="239">
        <v>4.6</v>
      </c>
      <c r="DL54" s="239">
        <v>1.4</v>
      </c>
      <c r="DM54" s="239">
        <v>6.1</v>
      </c>
      <c r="DN54" s="239">
        <v>4</v>
      </c>
      <c r="DO54" s="239">
        <v>1.5</v>
      </c>
      <c r="DP54" s="239">
        <v>4.3</v>
      </c>
      <c r="DQ54" s="239">
        <v>5.931</v>
      </c>
      <c r="DR54" s="239">
        <v>5.605</v>
      </c>
      <c r="DS54" s="239">
        <v>1.7</v>
      </c>
      <c r="DT54" s="239">
        <f t="shared" si="27"/>
        <v>45.596999999999994</v>
      </c>
      <c r="DU54" s="239">
        <v>2.525</v>
      </c>
      <c r="DV54" s="239">
        <v>4.154</v>
      </c>
      <c r="DW54" s="239">
        <v>7.734</v>
      </c>
      <c r="DX54" s="239">
        <v>1.5</v>
      </c>
      <c r="DY54" s="239">
        <v>7.994</v>
      </c>
      <c r="DZ54" s="239">
        <v>2.309</v>
      </c>
      <c r="EA54" s="239">
        <v>3.802</v>
      </c>
      <c r="EB54" s="239">
        <v>3.627</v>
      </c>
      <c r="EC54" s="239">
        <v>3.537</v>
      </c>
      <c r="ED54" s="239">
        <v>6</v>
      </c>
      <c r="EE54" s="239">
        <v>2.087</v>
      </c>
      <c r="EF54" s="239">
        <v>5.597</v>
      </c>
      <c r="EG54" s="239">
        <f t="shared" si="22"/>
        <v>50.86600000000001</v>
      </c>
      <c r="EH54" s="239">
        <v>6.147</v>
      </c>
      <c r="EI54" s="239">
        <v>7.042</v>
      </c>
      <c r="EJ54" s="239">
        <v>1.825</v>
      </c>
      <c r="EK54" s="239">
        <v>1.9</v>
      </c>
      <c r="EL54" s="239">
        <v>4.81</v>
      </c>
      <c r="EM54" s="239">
        <v>2.987</v>
      </c>
      <c r="EN54" s="239">
        <v>2.087</v>
      </c>
      <c r="EO54" s="239">
        <v>0.35</v>
      </c>
      <c r="EP54" s="239">
        <v>2.535</v>
      </c>
      <c r="EQ54" s="239">
        <v>3.497</v>
      </c>
      <c r="ER54" s="239">
        <v>1.35</v>
      </c>
      <c r="ES54" s="239">
        <v>1.95</v>
      </c>
      <c r="ET54" s="239">
        <f t="shared" si="28"/>
        <v>50.86600000000001</v>
      </c>
      <c r="EU54" s="239">
        <f t="shared" si="23"/>
        <v>36.480000000000004</v>
      </c>
      <c r="EV54" s="239">
        <v>3.985</v>
      </c>
      <c r="EW54" s="239">
        <v>4.307</v>
      </c>
      <c r="EX54" s="239">
        <v>1.2</v>
      </c>
      <c r="EY54" s="239">
        <v>3.017</v>
      </c>
      <c r="EZ54" s="239">
        <v>3.15</v>
      </c>
      <c r="FA54" s="239"/>
      <c r="FB54" s="239">
        <v>1.747</v>
      </c>
      <c r="FC54" s="239">
        <v>2.037</v>
      </c>
      <c r="FD54" s="239">
        <v>1.677</v>
      </c>
      <c r="FE54" s="239">
        <v>2.357</v>
      </c>
      <c r="FF54" s="239"/>
      <c r="FG54" s="287"/>
      <c r="FH54" s="239">
        <v>5.917</v>
      </c>
      <c r="FI54" s="239">
        <v>9</v>
      </c>
      <c r="FJ54" s="239">
        <v>3.344</v>
      </c>
      <c r="FK54" s="239"/>
      <c r="FL54" s="239">
        <v>3.957</v>
      </c>
      <c r="FM54" s="239">
        <v>9.172</v>
      </c>
      <c r="FN54" s="239"/>
      <c r="FO54" s="239">
        <v>1.917</v>
      </c>
      <c r="FP54" s="239"/>
      <c r="FQ54" s="239">
        <v>2.017</v>
      </c>
      <c r="FR54" s="239">
        <v>12.921</v>
      </c>
      <c r="FS54" s="239">
        <v>1.97</v>
      </c>
      <c r="FT54" s="239">
        <v>1.667</v>
      </c>
      <c r="FU54" s="239">
        <v>2.857</v>
      </c>
      <c r="FV54" s="239">
        <v>4.55</v>
      </c>
      <c r="FW54" s="239">
        <v>12.796</v>
      </c>
      <c r="FX54" s="239">
        <v>4.932</v>
      </c>
      <c r="FY54" s="239">
        <v>5.226</v>
      </c>
      <c r="FZ54" s="239">
        <v>3.033</v>
      </c>
      <c r="GA54" s="239">
        <v>4.103</v>
      </c>
      <c r="GB54" s="239">
        <v>1.601</v>
      </c>
      <c r="GC54" s="239">
        <v>1.93</v>
      </c>
      <c r="GD54" s="239">
        <v>4.367</v>
      </c>
      <c r="GE54" s="239"/>
      <c r="GF54" s="239">
        <v>25.969</v>
      </c>
      <c r="GG54" s="239">
        <v>14.361</v>
      </c>
      <c r="GH54" s="239">
        <v>3.07</v>
      </c>
      <c r="GI54" s="239">
        <v>5.436</v>
      </c>
      <c r="GJ54" s="239"/>
      <c r="GK54" s="239"/>
      <c r="GL54" s="239"/>
      <c r="GM54" s="239"/>
      <c r="GN54" s="239"/>
      <c r="GO54" s="239"/>
      <c r="GP54" s="239"/>
      <c r="GQ54" s="239"/>
      <c r="GR54" s="239">
        <f t="shared" si="29"/>
        <v>21.869999999999997</v>
      </c>
      <c r="GS54" s="239">
        <f t="shared" si="30"/>
        <v>48.836</v>
      </c>
    </row>
    <row r="55" spans="1:201" s="84" customFormat="1" ht="15.75">
      <c r="A55" s="74" t="s">
        <v>19</v>
      </c>
      <c r="B55" s="74" t="s">
        <v>20</v>
      </c>
      <c r="C55" s="146">
        <v>3</v>
      </c>
      <c r="D55" s="146"/>
      <c r="E55" s="146">
        <v>123</v>
      </c>
      <c r="F55" s="146">
        <v>27</v>
      </c>
      <c r="G55" s="146">
        <v>112</v>
      </c>
      <c r="H55" s="146">
        <v>97</v>
      </c>
      <c r="I55" s="146">
        <v>959</v>
      </c>
      <c r="J55" s="147">
        <v>94</v>
      </c>
      <c r="K55" s="146">
        <v>94</v>
      </c>
      <c r="L55" s="148">
        <v>32</v>
      </c>
      <c r="M55" s="149">
        <v>40</v>
      </c>
      <c r="N55" s="148">
        <v>4</v>
      </c>
      <c r="O55" s="154">
        <v>4</v>
      </c>
      <c r="P55" s="145">
        <v>11</v>
      </c>
      <c r="Q55" s="152" t="s">
        <v>14</v>
      </c>
      <c r="R55" s="145">
        <v>4</v>
      </c>
      <c r="S55" s="145">
        <v>10</v>
      </c>
      <c r="T55" s="152">
        <v>1</v>
      </c>
      <c r="U55" s="152">
        <v>31</v>
      </c>
      <c r="V55" s="145">
        <v>37.627</v>
      </c>
      <c r="W55" s="145">
        <v>50</v>
      </c>
      <c r="X55" s="196">
        <v>38.1</v>
      </c>
      <c r="Y55" s="239">
        <f t="shared" si="31"/>
        <v>63.15</v>
      </c>
      <c r="Z55" s="239">
        <f t="shared" si="32"/>
        <v>198.42499999999998</v>
      </c>
      <c r="AA55" s="239">
        <v>100.17099999999999</v>
      </c>
      <c r="AB55" s="239">
        <v>424.458</v>
      </c>
      <c r="AC55" s="239">
        <v>709.523</v>
      </c>
      <c r="AD55" s="239">
        <v>1225.0709999999997</v>
      </c>
      <c r="AE55" s="239">
        <v>542.901</v>
      </c>
      <c r="AF55" s="239">
        <v>272.57000000000005</v>
      </c>
      <c r="AG55" s="239">
        <v>4</v>
      </c>
      <c r="AH55" s="239">
        <v>10</v>
      </c>
      <c r="AI55" s="239">
        <f>2+1+1+4</f>
        <v>8</v>
      </c>
      <c r="AJ55" s="239">
        <v>8</v>
      </c>
      <c r="AK55" s="239"/>
      <c r="AL55" s="239">
        <v>0</v>
      </c>
      <c r="AM55" s="239"/>
      <c r="AN55" s="239">
        <v>1</v>
      </c>
      <c r="AO55" s="239"/>
      <c r="AP55" s="239">
        <v>0</v>
      </c>
      <c r="AQ55" s="239"/>
      <c r="AR55" s="239"/>
      <c r="AS55" s="239">
        <f t="shared" si="24"/>
        <v>31</v>
      </c>
      <c r="AT55" s="239"/>
      <c r="AU55" s="239"/>
      <c r="AV55" s="239"/>
      <c r="AW55" s="239"/>
      <c r="AX55" s="239">
        <v>0.899</v>
      </c>
      <c r="AY55" s="239"/>
      <c r="AZ55" s="239"/>
      <c r="BA55" s="239"/>
      <c r="BB55" s="239">
        <v>9.8</v>
      </c>
      <c r="BC55" s="239">
        <v>1.6</v>
      </c>
      <c r="BD55" s="239">
        <v>5.7</v>
      </c>
      <c r="BE55" s="239">
        <v>19.628</v>
      </c>
      <c r="BF55" s="239">
        <f t="shared" si="25"/>
        <v>37.627</v>
      </c>
      <c r="BG55" s="239">
        <v>3</v>
      </c>
      <c r="BH55" s="239">
        <v>3.909</v>
      </c>
      <c r="BI55" s="239">
        <v>2.281</v>
      </c>
      <c r="BJ55" s="239">
        <v>2.696</v>
      </c>
      <c r="BK55" s="239">
        <v>3.729</v>
      </c>
      <c r="BL55" s="239">
        <v>3.495</v>
      </c>
      <c r="BM55" s="239"/>
      <c r="BN55" s="239">
        <v>1.9</v>
      </c>
      <c r="BO55" s="239">
        <v>2.4</v>
      </c>
      <c r="BP55" s="239">
        <v>2.5</v>
      </c>
      <c r="BQ55" s="239">
        <v>22.75</v>
      </c>
      <c r="BR55" s="239">
        <v>1.5</v>
      </c>
      <c r="BS55" s="239">
        <f t="shared" si="21"/>
        <v>50.16</v>
      </c>
      <c r="BT55" s="239">
        <f t="shared" si="33"/>
        <v>50.16</v>
      </c>
      <c r="BU55" s="239">
        <v>1</v>
      </c>
      <c r="BV55" s="239">
        <v>2</v>
      </c>
      <c r="BW55" s="239">
        <f>2+1+1+0.2+0.4+0.5</f>
        <v>5.1000000000000005</v>
      </c>
      <c r="BX55" s="239">
        <v>3</v>
      </c>
      <c r="BY55" s="239"/>
      <c r="BZ55" s="239">
        <v>3</v>
      </c>
      <c r="CA55" s="239">
        <v>2</v>
      </c>
      <c r="CB55" s="239">
        <v>3</v>
      </c>
      <c r="CC55" s="239">
        <v>4</v>
      </c>
      <c r="CD55" s="239">
        <v>4</v>
      </c>
      <c r="CE55" s="239">
        <v>5</v>
      </c>
      <c r="CF55" s="239">
        <v>6</v>
      </c>
      <c r="CG55" s="239">
        <f t="shared" si="26"/>
        <v>38.1</v>
      </c>
      <c r="CH55" s="239">
        <v>6</v>
      </c>
      <c r="CI55" s="239">
        <v>4</v>
      </c>
      <c r="CJ55" s="239">
        <v>4</v>
      </c>
      <c r="CK55" s="239">
        <v>5</v>
      </c>
      <c r="CL55" s="239">
        <v>5</v>
      </c>
      <c r="CM55" s="239">
        <v>7.44</v>
      </c>
      <c r="CN55" s="239">
        <v>8</v>
      </c>
      <c r="CO55" s="239">
        <v>5</v>
      </c>
      <c r="CP55" s="239">
        <v>4.856999999999999</v>
      </c>
      <c r="CQ55" s="239">
        <v>2.8529999999999998</v>
      </c>
      <c r="CR55" s="239">
        <v>6</v>
      </c>
      <c r="CS55" s="239">
        <v>5</v>
      </c>
      <c r="CT55" s="239">
        <f t="shared" si="34"/>
        <v>63.15</v>
      </c>
      <c r="CU55" s="239">
        <v>4</v>
      </c>
      <c r="CV55" s="239">
        <v>6</v>
      </c>
      <c r="CW55" s="239">
        <v>9.1</v>
      </c>
      <c r="CX55" s="239">
        <v>8.1</v>
      </c>
      <c r="CY55" s="239">
        <v>4.5</v>
      </c>
      <c r="CZ55" s="239">
        <v>3.5</v>
      </c>
      <c r="DA55" s="239">
        <v>29.8</v>
      </c>
      <c r="DB55" s="239">
        <v>56.09</v>
      </c>
      <c r="DC55" s="239">
        <v>56.41</v>
      </c>
      <c r="DD55" s="239">
        <v>5.099</v>
      </c>
      <c r="DE55" s="239">
        <v>9.826</v>
      </c>
      <c r="DF55" s="239">
        <v>6</v>
      </c>
      <c r="DG55" s="239">
        <f aca="true" t="shared" si="35" ref="DG55:DG82">SUM(CU55:DF55)</f>
        <v>198.42499999999998</v>
      </c>
      <c r="DH55" s="239">
        <v>8.109</v>
      </c>
      <c r="DI55" s="239">
        <v>8.276</v>
      </c>
      <c r="DJ55" s="239">
        <v>9.135</v>
      </c>
      <c r="DK55" s="239">
        <v>7.9</v>
      </c>
      <c r="DL55" s="239">
        <v>8.975</v>
      </c>
      <c r="DM55" s="239">
        <v>11.6</v>
      </c>
      <c r="DN55" s="239">
        <v>10.2</v>
      </c>
      <c r="DO55" s="239">
        <v>7.542</v>
      </c>
      <c r="DP55" s="239">
        <v>7.1</v>
      </c>
      <c r="DQ55" s="239">
        <v>6.394</v>
      </c>
      <c r="DR55" s="239">
        <v>7.74</v>
      </c>
      <c r="DS55" s="239">
        <v>7.2</v>
      </c>
      <c r="DT55" s="239">
        <f t="shared" si="27"/>
        <v>100.17099999999999</v>
      </c>
      <c r="DU55" s="239">
        <v>7.824</v>
      </c>
      <c r="DV55" s="239">
        <v>8.616</v>
      </c>
      <c r="DW55" s="239">
        <v>7.109</v>
      </c>
      <c r="DX55" s="239">
        <v>8.182</v>
      </c>
      <c r="DY55" s="239">
        <v>8.103</v>
      </c>
      <c r="DZ55" s="239">
        <v>25.426</v>
      </c>
      <c r="EA55" s="239">
        <v>91.811</v>
      </c>
      <c r="EB55" s="239">
        <v>64.146</v>
      </c>
      <c r="EC55" s="239">
        <v>64.549</v>
      </c>
      <c r="ED55" s="239">
        <v>92.104</v>
      </c>
      <c r="EE55" s="239">
        <v>32.159</v>
      </c>
      <c r="EF55" s="239">
        <v>14.429</v>
      </c>
      <c r="EG55" s="239">
        <f t="shared" si="22"/>
        <v>424.458</v>
      </c>
      <c r="EH55" s="239">
        <v>26.829</v>
      </c>
      <c r="EI55" s="239">
        <v>24.316</v>
      </c>
      <c r="EJ55" s="239">
        <v>38.066</v>
      </c>
      <c r="EK55" s="239">
        <v>41.539</v>
      </c>
      <c r="EL55" s="239">
        <v>39.01</v>
      </c>
      <c r="EM55" s="239">
        <v>71.558</v>
      </c>
      <c r="EN55" s="239">
        <v>76.472</v>
      </c>
      <c r="EO55" s="239">
        <v>70.651</v>
      </c>
      <c r="EP55" s="239">
        <v>58.276</v>
      </c>
      <c r="EQ55" s="239">
        <v>145.618</v>
      </c>
      <c r="ER55" s="239">
        <v>75.303</v>
      </c>
      <c r="ES55" s="239">
        <v>41.885</v>
      </c>
      <c r="ET55" s="239">
        <f t="shared" si="28"/>
        <v>424.458</v>
      </c>
      <c r="EU55" s="239">
        <f t="shared" si="23"/>
        <v>709.523</v>
      </c>
      <c r="EV55" s="239">
        <v>37.177</v>
      </c>
      <c r="EW55" s="239">
        <v>82.163</v>
      </c>
      <c r="EX55" s="239">
        <v>125.525</v>
      </c>
      <c r="EY55" s="239">
        <v>23.574</v>
      </c>
      <c r="EZ55" s="239">
        <v>127.775</v>
      </c>
      <c r="FA55" s="239">
        <v>212.582</v>
      </c>
      <c r="FB55" s="239">
        <v>310.162</v>
      </c>
      <c r="FC55" s="239">
        <v>56.666</v>
      </c>
      <c r="FD55" s="239">
        <v>102.254</v>
      </c>
      <c r="FE55" s="239">
        <v>85.263</v>
      </c>
      <c r="FF55" s="239">
        <v>46.205</v>
      </c>
      <c r="FG55" s="287">
        <v>15.725</v>
      </c>
      <c r="FH55" s="239">
        <v>241.672</v>
      </c>
      <c r="FI55" s="239">
        <v>50.473</v>
      </c>
      <c r="FJ55" s="239">
        <v>19.207</v>
      </c>
      <c r="FK55" s="239">
        <v>44.485</v>
      </c>
      <c r="FL55" s="239">
        <v>16.987</v>
      </c>
      <c r="FM55" s="239">
        <v>32.058</v>
      </c>
      <c r="FN55" s="239">
        <v>54.264</v>
      </c>
      <c r="FO55" s="239">
        <v>22.044</v>
      </c>
      <c r="FP55" s="239">
        <v>4.666</v>
      </c>
      <c r="FQ55" s="239">
        <v>9.9</v>
      </c>
      <c r="FR55" s="239">
        <v>39.145</v>
      </c>
      <c r="FS55" s="239">
        <v>8</v>
      </c>
      <c r="FT55" s="239"/>
      <c r="FU55" s="239"/>
      <c r="FV55" s="239">
        <v>2.62</v>
      </c>
      <c r="FW55" s="239">
        <v>151.3</v>
      </c>
      <c r="FX55" s="239"/>
      <c r="FY55" s="239">
        <v>0</v>
      </c>
      <c r="FZ55" s="239">
        <v>26</v>
      </c>
      <c r="GA55" s="239">
        <v>20.5</v>
      </c>
      <c r="GB55" s="239">
        <v>32.65</v>
      </c>
      <c r="GC55" s="239">
        <v>39.5</v>
      </c>
      <c r="GD55" s="239"/>
      <c r="GE55" s="239"/>
      <c r="GF55" s="239"/>
      <c r="GG55" s="239">
        <v>0.7</v>
      </c>
      <c r="GH55" s="239">
        <v>0.8</v>
      </c>
      <c r="GI55" s="239">
        <v>20.2</v>
      </c>
      <c r="GJ55" s="239"/>
      <c r="GK55" s="239"/>
      <c r="GL55" s="239"/>
      <c r="GM55" s="239"/>
      <c r="GN55" s="239"/>
      <c r="GO55" s="239"/>
      <c r="GP55" s="239"/>
      <c r="GQ55" s="239"/>
      <c r="GR55" s="239">
        <f t="shared" si="29"/>
        <v>153.92000000000002</v>
      </c>
      <c r="GS55" s="239">
        <f t="shared" si="30"/>
        <v>21.7</v>
      </c>
    </row>
    <row r="56" spans="1:201" s="84" customFormat="1" ht="15.75">
      <c r="A56" s="74" t="s">
        <v>21</v>
      </c>
      <c r="B56" s="74" t="s">
        <v>22</v>
      </c>
      <c r="C56" s="146">
        <v>35</v>
      </c>
      <c r="D56" s="146"/>
      <c r="E56" s="146">
        <v>101</v>
      </c>
      <c r="F56" s="146">
        <v>121</v>
      </c>
      <c r="G56" s="146">
        <v>353</v>
      </c>
      <c r="H56" s="155">
        <v>400</v>
      </c>
      <c r="I56" s="146">
        <v>337</v>
      </c>
      <c r="J56" s="147">
        <v>318</v>
      </c>
      <c r="K56" s="146">
        <v>160</v>
      </c>
      <c r="L56" s="148">
        <v>35</v>
      </c>
      <c r="M56" s="149">
        <v>14</v>
      </c>
      <c r="N56" s="148">
        <v>69</v>
      </c>
      <c r="O56" s="154">
        <v>22</v>
      </c>
      <c r="P56" s="145">
        <v>8</v>
      </c>
      <c r="Q56" s="152">
        <v>5</v>
      </c>
      <c r="R56" s="145">
        <v>1</v>
      </c>
      <c r="S56" s="145" t="s">
        <v>14</v>
      </c>
      <c r="T56" s="145" t="s">
        <v>14</v>
      </c>
      <c r="U56" s="145" t="s">
        <v>14</v>
      </c>
      <c r="V56" s="145">
        <v>13.986999999999998</v>
      </c>
      <c r="W56" s="145">
        <v>433</v>
      </c>
      <c r="X56" s="196">
        <v>451.6</v>
      </c>
      <c r="Y56" s="239">
        <f t="shared" si="31"/>
        <v>114.43</v>
      </c>
      <c r="Z56" s="239">
        <f t="shared" si="32"/>
        <v>125.26200000000001</v>
      </c>
      <c r="AA56" s="239">
        <v>750.536</v>
      </c>
      <c r="AB56" s="239">
        <v>1258.2979999999998</v>
      </c>
      <c r="AC56" s="239">
        <v>1929.2410000000002</v>
      </c>
      <c r="AD56" s="239">
        <v>2273.746</v>
      </c>
      <c r="AE56" s="239">
        <v>2525.634</v>
      </c>
      <c r="AF56" s="239">
        <v>5344.3240000000005</v>
      </c>
      <c r="AG56" s="239" t="s">
        <v>14</v>
      </c>
      <c r="AH56" s="239" t="s">
        <v>14</v>
      </c>
      <c r="AI56" s="239" t="s">
        <v>14</v>
      </c>
      <c r="AJ56" s="239" t="s">
        <v>14</v>
      </c>
      <c r="AK56" s="239" t="s">
        <v>14</v>
      </c>
      <c r="AL56" s="239" t="s">
        <v>14</v>
      </c>
      <c r="AM56" s="239" t="s">
        <v>14</v>
      </c>
      <c r="AN56" s="239" t="s">
        <v>14</v>
      </c>
      <c r="AO56" s="239" t="s">
        <v>14</v>
      </c>
      <c r="AP56" s="239" t="s">
        <v>14</v>
      </c>
      <c r="AQ56" s="239" t="s">
        <v>14</v>
      </c>
      <c r="AR56" s="239" t="s">
        <v>14</v>
      </c>
      <c r="AS56" s="239" t="s">
        <v>14</v>
      </c>
      <c r="AT56" s="239"/>
      <c r="AU56" s="239"/>
      <c r="AV56" s="239"/>
      <c r="AW56" s="239"/>
      <c r="AX56" s="239">
        <v>4.8</v>
      </c>
      <c r="AY56" s="239">
        <v>0.5</v>
      </c>
      <c r="AZ56" s="239"/>
      <c r="BA56" s="239"/>
      <c r="BB56" s="239">
        <f>1.3+1.2</f>
        <v>2.5</v>
      </c>
      <c r="BC56" s="239">
        <v>2.7</v>
      </c>
      <c r="BD56" s="239">
        <v>1.7</v>
      </c>
      <c r="BE56" s="239">
        <v>1.787</v>
      </c>
      <c r="BF56" s="239">
        <f t="shared" si="25"/>
        <v>13.986999999999998</v>
      </c>
      <c r="BG56" s="239">
        <v>2</v>
      </c>
      <c r="BH56" s="239">
        <v>5.89</v>
      </c>
      <c r="BI56" s="239">
        <v>29.231</v>
      </c>
      <c r="BJ56" s="239">
        <v>47.129</v>
      </c>
      <c r="BK56" s="239">
        <v>99.893</v>
      </c>
      <c r="BL56" s="239">
        <v>61.3</v>
      </c>
      <c r="BM56" s="239">
        <v>38.5</v>
      </c>
      <c r="BN56" s="239">
        <v>20.8</v>
      </c>
      <c r="BO56" s="239">
        <v>61.9</v>
      </c>
      <c r="BP56" s="239">
        <v>23.5</v>
      </c>
      <c r="BQ56" s="239">
        <v>31.99</v>
      </c>
      <c r="BR56" s="239">
        <v>10.85</v>
      </c>
      <c r="BS56" s="239">
        <f t="shared" si="21"/>
        <v>432.983</v>
      </c>
      <c r="BT56" s="239">
        <f t="shared" si="33"/>
        <v>432.983</v>
      </c>
      <c r="BU56" s="239">
        <v>22</v>
      </c>
      <c r="BV56" s="239">
        <v>49</v>
      </c>
      <c r="BW56" s="239">
        <v>88</v>
      </c>
      <c r="BX56" s="239">
        <v>55</v>
      </c>
      <c r="BY56" s="239">
        <v>41</v>
      </c>
      <c r="BZ56" s="239">
        <v>37</v>
      </c>
      <c r="CA56" s="239">
        <v>19</v>
      </c>
      <c r="CB56" s="239">
        <v>32</v>
      </c>
      <c r="CC56" s="239">
        <f>3.7+1+0.3+0.4+14+11.2</f>
        <v>30.599999999999998</v>
      </c>
      <c r="CD56" s="239">
        <v>10</v>
      </c>
      <c r="CE56" s="239">
        <v>57</v>
      </c>
      <c r="CF56" s="239">
        <v>11</v>
      </c>
      <c r="CG56" s="239">
        <f t="shared" si="26"/>
        <v>451.6</v>
      </c>
      <c r="CH56" s="239">
        <v>13</v>
      </c>
      <c r="CI56" s="239">
        <v>8</v>
      </c>
      <c r="CJ56" s="239">
        <v>8</v>
      </c>
      <c r="CK56" s="239">
        <v>24</v>
      </c>
      <c r="CL56" s="239">
        <v>8</v>
      </c>
      <c r="CM56" s="239">
        <v>19.544</v>
      </c>
      <c r="CN56" s="239">
        <v>4</v>
      </c>
      <c r="CO56" s="239">
        <v>5</v>
      </c>
      <c r="CP56" s="239">
        <v>6.983</v>
      </c>
      <c r="CQ56" s="239">
        <v>5.9030000000000005</v>
      </c>
      <c r="CR56" s="239">
        <v>8</v>
      </c>
      <c r="CS56" s="239">
        <v>4</v>
      </c>
      <c r="CT56" s="239">
        <f t="shared" si="34"/>
        <v>114.43</v>
      </c>
      <c r="CU56" s="239">
        <v>7</v>
      </c>
      <c r="CV56" s="239">
        <v>35</v>
      </c>
      <c r="CW56" s="239">
        <v>11.4</v>
      </c>
      <c r="CX56" s="239">
        <v>8.3</v>
      </c>
      <c r="CY56" s="239">
        <v>7.6</v>
      </c>
      <c r="CZ56" s="239">
        <v>11.9</v>
      </c>
      <c r="DA56" s="239">
        <v>1.7</v>
      </c>
      <c r="DB56" s="239">
        <v>2.26</v>
      </c>
      <c r="DC56" s="239">
        <v>6.09</v>
      </c>
      <c r="DD56" s="239">
        <v>6.712</v>
      </c>
      <c r="DE56" s="239">
        <v>7.300000000000001</v>
      </c>
      <c r="DF56" s="239">
        <v>20</v>
      </c>
      <c r="DG56" s="239">
        <f t="shared" si="35"/>
        <v>125.26200000000001</v>
      </c>
      <c r="DH56" s="239">
        <v>18.058</v>
      </c>
      <c r="DI56" s="239">
        <v>18.81</v>
      </c>
      <c r="DJ56" s="239">
        <v>11.372</v>
      </c>
      <c r="DK56" s="239">
        <v>21.7</v>
      </c>
      <c r="DL56" s="239">
        <v>273.46</v>
      </c>
      <c r="DM56" s="239">
        <v>58.7</v>
      </c>
      <c r="DN56" s="239">
        <v>18.6</v>
      </c>
      <c r="DO56" s="239">
        <v>27.923000000000002</v>
      </c>
      <c r="DP56" s="239">
        <v>76.1</v>
      </c>
      <c r="DQ56" s="239">
        <v>77.343</v>
      </c>
      <c r="DR56" s="239">
        <v>93.26999999999998</v>
      </c>
      <c r="DS56" s="239">
        <v>55.2</v>
      </c>
      <c r="DT56" s="239">
        <f t="shared" si="27"/>
        <v>750.536</v>
      </c>
      <c r="DU56" s="239">
        <v>54.569</v>
      </c>
      <c r="DV56" s="239">
        <v>63.438</v>
      </c>
      <c r="DW56" s="239">
        <v>86.055</v>
      </c>
      <c r="DX56" s="239">
        <v>156.798</v>
      </c>
      <c r="DY56" s="239">
        <v>209.337</v>
      </c>
      <c r="DZ56" s="239">
        <v>224.938</v>
      </c>
      <c r="EA56" s="239">
        <v>103.12</v>
      </c>
      <c r="EB56" s="239">
        <v>52.635</v>
      </c>
      <c r="EC56" s="239">
        <v>99.148</v>
      </c>
      <c r="ED56" s="239">
        <v>93.646</v>
      </c>
      <c r="EE56" s="239">
        <v>63.638</v>
      </c>
      <c r="EF56" s="239">
        <v>50.976</v>
      </c>
      <c r="EG56" s="239">
        <f t="shared" si="22"/>
        <v>1258.2979999999998</v>
      </c>
      <c r="EH56" s="239">
        <v>53</v>
      </c>
      <c r="EI56" s="239">
        <v>65.818</v>
      </c>
      <c r="EJ56" s="239">
        <v>95.561</v>
      </c>
      <c r="EK56" s="239">
        <v>136.506</v>
      </c>
      <c r="EL56" s="239">
        <v>176.612</v>
      </c>
      <c r="EM56" s="239">
        <v>190.611</v>
      </c>
      <c r="EN56" s="239">
        <v>449.745</v>
      </c>
      <c r="EO56" s="239">
        <v>57.672</v>
      </c>
      <c r="EP56" s="239">
        <v>97.037</v>
      </c>
      <c r="EQ56" s="239">
        <v>182.228</v>
      </c>
      <c r="ER56" s="239">
        <v>204.328</v>
      </c>
      <c r="ES56" s="239">
        <v>220.123</v>
      </c>
      <c r="ET56" s="239">
        <f t="shared" si="28"/>
        <v>1258.2979999999998</v>
      </c>
      <c r="EU56" s="239">
        <f t="shared" si="23"/>
        <v>1929.2410000000002</v>
      </c>
      <c r="EV56" s="239">
        <v>188.159</v>
      </c>
      <c r="EW56" s="239">
        <v>414.122</v>
      </c>
      <c r="EX56" s="239">
        <v>83.762</v>
      </c>
      <c r="EY56" s="239">
        <v>345.239</v>
      </c>
      <c r="EZ56" s="239">
        <v>179.469</v>
      </c>
      <c r="FA56" s="239">
        <v>175.654</v>
      </c>
      <c r="FB56" s="239">
        <v>118.972</v>
      </c>
      <c r="FC56" s="239">
        <v>262.664</v>
      </c>
      <c r="FD56" s="239">
        <v>120.832</v>
      </c>
      <c r="FE56" s="239">
        <v>121.855</v>
      </c>
      <c r="FF56" s="239">
        <v>138.059</v>
      </c>
      <c r="FG56" s="287">
        <v>124.959</v>
      </c>
      <c r="FH56" s="239">
        <v>104.693</v>
      </c>
      <c r="FI56" s="239">
        <v>115.65</v>
      </c>
      <c r="FJ56" s="239">
        <v>49.382</v>
      </c>
      <c r="FK56" s="239">
        <v>122.122</v>
      </c>
      <c r="FL56" s="239">
        <v>204.216</v>
      </c>
      <c r="FM56" s="239">
        <v>323.659</v>
      </c>
      <c r="FN56" s="239">
        <v>162.61</v>
      </c>
      <c r="FO56" s="239">
        <v>268.73</v>
      </c>
      <c r="FP56" s="239">
        <v>334.283</v>
      </c>
      <c r="FQ56" s="239">
        <v>402.066</v>
      </c>
      <c r="FR56" s="239">
        <v>261.573</v>
      </c>
      <c r="FS56" s="239">
        <v>176.64999999999998</v>
      </c>
      <c r="FT56" s="239">
        <v>49.9</v>
      </c>
      <c r="FU56" s="239">
        <v>1635.951</v>
      </c>
      <c r="FV56" s="239">
        <v>1457.44</v>
      </c>
      <c r="FW56" s="239">
        <v>65.725</v>
      </c>
      <c r="FX56" s="239">
        <v>85.724</v>
      </c>
      <c r="FY56" s="239">
        <v>124.315</v>
      </c>
      <c r="FZ56" s="239">
        <v>120.41</v>
      </c>
      <c r="GA56" s="239">
        <v>421.6</v>
      </c>
      <c r="GB56" s="239">
        <v>388.16</v>
      </c>
      <c r="GC56" s="239">
        <v>373.62</v>
      </c>
      <c r="GD56" s="239">
        <v>358.549</v>
      </c>
      <c r="GE56" s="239">
        <v>262.93</v>
      </c>
      <c r="GF56" s="239">
        <v>381.94</v>
      </c>
      <c r="GG56" s="239">
        <v>350.059</v>
      </c>
      <c r="GH56" s="239">
        <v>57.49</v>
      </c>
      <c r="GI56" s="239">
        <v>60.38</v>
      </c>
      <c r="GJ56" s="239"/>
      <c r="GK56" s="239"/>
      <c r="GL56" s="239"/>
      <c r="GM56" s="239"/>
      <c r="GN56" s="239"/>
      <c r="GO56" s="239"/>
      <c r="GP56" s="239"/>
      <c r="GQ56" s="239"/>
      <c r="GR56" s="239">
        <f t="shared" si="29"/>
        <v>3209.016</v>
      </c>
      <c r="GS56" s="239">
        <f t="shared" si="30"/>
        <v>849.869</v>
      </c>
    </row>
    <row r="57" spans="1:201" s="84" customFormat="1" ht="15.75">
      <c r="A57" s="74" t="s">
        <v>23</v>
      </c>
      <c r="B57" s="75" t="s">
        <v>127</v>
      </c>
      <c r="C57" s="146">
        <v>36684</v>
      </c>
      <c r="D57" s="146"/>
      <c r="E57" s="146">
        <v>33501</v>
      </c>
      <c r="F57" s="146">
        <v>41061</v>
      </c>
      <c r="G57" s="146">
        <v>39991</v>
      </c>
      <c r="H57" s="146">
        <v>22770</v>
      </c>
      <c r="I57" s="146">
        <v>28732</v>
      </c>
      <c r="J57" s="147">
        <v>28500</v>
      </c>
      <c r="K57" s="146">
        <v>13400</v>
      </c>
      <c r="L57" s="148">
        <v>31870</v>
      </c>
      <c r="M57" s="148">
        <v>22303</v>
      </c>
      <c r="N57" s="148">
        <v>23685</v>
      </c>
      <c r="O57" s="154">
        <v>24719</v>
      </c>
      <c r="P57" s="145">
        <v>18663</v>
      </c>
      <c r="Q57" s="152">
        <v>16956</v>
      </c>
      <c r="R57" s="145">
        <v>27815</v>
      </c>
      <c r="S57" s="145">
        <v>20342.52</v>
      </c>
      <c r="T57" s="152">
        <v>22658.88</v>
      </c>
      <c r="U57" s="152">
        <v>17927.58</v>
      </c>
      <c r="V57" s="145">
        <v>20306.76</v>
      </c>
      <c r="W57" s="145">
        <v>15883</v>
      </c>
      <c r="X57" s="196">
        <v>17113.895</v>
      </c>
      <c r="Y57" s="239">
        <f t="shared" si="31"/>
        <v>20661.006999999998</v>
      </c>
      <c r="Z57" s="239">
        <f t="shared" si="32"/>
        <v>17445.631999999998</v>
      </c>
      <c r="AA57" s="239">
        <v>23308.688</v>
      </c>
      <c r="AB57" s="239">
        <v>11865.435</v>
      </c>
      <c r="AC57" s="239">
        <v>15158.62</v>
      </c>
      <c r="AD57" s="239">
        <v>13656.71</v>
      </c>
      <c r="AE57" s="239">
        <v>16645.574</v>
      </c>
      <c r="AF57" s="239">
        <v>13327.502</v>
      </c>
      <c r="AG57" s="239">
        <v>426.78</v>
      </c>
      <c r="AH57" s="239">
        <v>560.94</v>
      </c>
      <c r="AI57" s="239">
        <v>577.62</v>
      </c>
      <c r="AJ57" s="239">
        <v>621.18</v>
      </c>
      <c r="AK57" s="239">
        <v>300.9</v>
      </c>
      <c r="AL57" s="239">
        <v>115.38</v>
      </c>
      <c r="AM57" s="239">
        <v>201</v>
      </c>
      <c r="AN57" s="239">
        <v>2284.86</v>
      </c>
      <c r="AO57" s="239">
        <v>2494.98</v>
      </c>
      <c r="AP57" s="239">
        <v>3528</v>
      </c>
      <c r="AQ57" s="239">
        <v>2839.38</v>
      </c>
      <c r="AR57" s="239">
        <v>3976.56</v>
      </c>
      <c r="AS57" s="239">
        <f t="shared" si="24"/>
        <v>17927.58</v>
      </c>
      <c r="AT57" s="239">
        <v>2867.52</v>
      </c>
      <c r="AU57" s="239">
        <v>1380.3</v>
      </c>
      <c r="AV57" s="239">
        <v>1259.28</v>
      </c>
      <c r="AW57" s="239">
        <v>5357.58</v>
      </c>
      <c r="AX57" s="239">
        <v>1074</v>
      </c>
      <c r="AY57" s="239">
        <v>2303.82</v>
      </c>
      <c r="AZ57" s="239">
        <v>290.94</v>
      </c>
      <c r="BA57" s="239">
        <v>605.34</v>
      </c>
      <c r="BB57" s="239">
        <v>1557.6</v>
      </c>
      <c r="BC57" s="239">
        <v>1605</v>
      </c>
      <c r="BD57" s="239">
        <v>1555.14</v>
      </c>
      <c r="BE57" s="239">
        <v>450.24</v>
      </c>
      <c r="BF57" s="239">
        <f t="shared" si="25"/>
        <v>20306.760000000002</v>
      </c>
      <c r="BG57" s="239">
        <v>676.56</v>
      </c>
      <c r="BH57" s="239">
        <v>1152.3</v>
      </c>
      <c r="BI57" s="239">
        <v>0</v>
      </c>
      <c r="BJ57" s="239">
        <v>17.76</v>
      </c>
      <c r="BK57" s="239">
        <v>209.76</v>
      </c>
      <c r="BL57" s="239">
        <v>1107.66</v>
      </c>
      <c r="BM57" s="239">
        <v>897.54</v>
      </c>
      <c r="BN57" s="239">
        <v>2555.34</v>
      </c>
      <c r="BO57" s="239">
        <v>2256.3</v>
      </c>
      <c r="BP57" s="239">
        <v>2560.92</v>
      </c>
      <c r="BQ57" s="239">
        <v>2073.24</v>
      </c>
      <c r="BR57" s="239">
        <v>2376</v>
      </c>
      <c r="BS57" s="239">
        <f t="shared" si="21"/>
        <v>15883.380000000001</v>
      </c>
      <c r="BT57" s="239">
        <f t="shared" si="33"/>
        <v>15883.380000000001</v>
      </c>
      <c r="BU57" s="239">
        <v>2470.02</v>
      </c>
      <c r="BV57" s="239">
        <v>3033.72</v>
      </c>
      <c r="BW57" s="239">
        <v>2541.96</v>
      </c>
      <c r="BX57" s="239">
        <v>2249.79</v>
      </c>
      <c r="BY57" s="239">
        <v>1131.225</v>
      </c>
      <c r="BZ57" s="239">
        <v>590.04</v>
      </c>
      <c r="CA57" s="239">
        <v>381.06</v>
      </c>
      <c r="CB57" s="239">
        <v>498.08</v>
      </c>
      <c r="CC57" s="239">
        <v>1404</v>
      </c>
      <c r="CD57" s="239">
        <v>994</v>
      </c>
      <c r="CE57" s="239">
        <v>664</v>
      </c>
      <c r="CF57" s="239">
        <v>1156</v>
      </c>
      <c r="CG57" s="239">
        <f t="shared" si="26"/>
        <v>17113.895</v>
      </c>
      <c r="CH57" s="239">
        <v>344</v>
      </c>
      <c r="CI57" s="239">
        <v>448</v>
      </c>
      <c r="CJ57" s="239">
        <v>269</v>
      </c>
      <c r="CK57" s="239">
        <v>307</v>
      </c>
      <c r="CL57" s="239">
        <v>280</v>
      </c>
      <c r="CM57" s="239">
        <v>95</v>
      </c>
      <c r="CN57" s="239">
        <v>1313</v>
      </c>
      <c r="CO57" s="239">
        <v>3489.96</v>
      </c>
      <c r="CP57" s="239">
        <v>2510.047</v>
      </c>
      <c r="CQ57" s="239">
        <v>3539</v>
      </c>
      <c r="CR57" s="239">
        <v>3781</v>
      </c>
      <c r="CS57" s="239">
        <v>4285</v>
      </c>
      <c r="CT57" s="239">
        <f t="shared" si="34"/>
        <v>20661.006999999998</v>
      </c>
      <c r="CU57" s="239">
        <v>1068</v>
      </c>
      <c r="CV57" s="239">
        <v>1411</v>
      </c>
      <c r="CW57" s="239">
        <v>1726.1</v>
      </c>
      <c r="CX57" s="239">
        <v>682.9</v>
      </c>
      <c r="CY57" s="239">
        <v>323.4</v>
      </c>
      <c r="CZ57" s="239">
        <v>155.6</v>
      </c>
      <c r="DA57" s="239">
        <v>1245.9</v>
      </c>
      <c r="DB57" s="239">
        <v>1228.8</v>
      </c>
      <c r="DC57" s="239">
        <v>3718.95</v>
      </c>
      <c r="DD57" s="239">
        <v>2558.72</v>
      </c>
      <c r="DE57" s="239">
        <v>1730.2620000000002</v>
      </c>
      <c r="DF57" s="239">
        <v>1596</v>
      </c>
      <c r="DG57" s="239">
        <f t="shared" si="35"/>
        <v>17445.631999999998</v>
      </c>
      <c r="DH57" s="239">
        <v>1023.86</v>
      </c>
      <c r="DI57" s="239">
        <v>329.99</v>
      </c>
      <c r="DJ57" s="239">
        <v>1726.079</v>
      </c>
      <c r="DK57" s="239">
        <v>213.5</v>
      </c>
      <c r="DL57" s="239">
        <v>77</v>
      </c>
      <c r="DM57" s="239">
        <v>644.6</v>
      </c>
      <c r="DN57" s="239">
        <v>2177.8</v>
      </c>
      <c r="DO57" s="239">
        <v>3122.4200000000005</v>
      </c>
      <c r="DP57" s="239">
        <v>3754</v>
      </c>
      <c r="DQ57" s="239">
        <v>4033.82</v>
      </c>
      <c r="DR57" s="239">
        <v>3852.4189999999994</v>
      </c>
      <c r="DS57" s="239">
        <v>2353.2</v>
      </c>
      <c r="DT57" s="239">
        <f t="shared" si="27"/>
        <v>23308.688</v>
      </c>
      <c r="DU57" s="239">
        <v>2076.061</v>
      </c>
      <c r="DV57" s="239">
        <v>880.174</v>
      </c>
      <c r="DW57" s="239">
        <v>1090.805</v>
      </c>
      <c r="DX57" s="239">
        <v>81</v>
      </c>
      <c r="DY57" s="239">
        <v>43.75</v>
      </c>
      <c r="DZ57" s="239">
        <v>1.12</v>
      </c>
      <c r="EA57" s="239">
        <v>3</v>
      </c>
      <c r="EB57" s="239">
        <v>842.702</v>
      </c>
      <c r="EC57" s="239">
        <v>1908.6</v>
      </c>
      <c r="ED57" s="239">
        <v>1667.175</v>
      </c>
      <c r="EE57" s="239">
        <v>1336.375</v>
      </c>
      <c r="EF57" s="239">
        <v>1934.673</v>
      </c>
      <c r="EG57" s="239">
        <f t="shared" si="22"/>
        <v>11865.435</v>
      </c>
      <c r="EH57" s="239">
        <v>697.1170000000001</v>
      </c>
      <c r="EI57" s="239">
        <v>706.806</v>
      </c>
      <c r="EJ57" s="239">
        <v>384.42</v>
      </c>
      <c r="EK57" s="239">
        <v>593.022</v>
      </c>
      <c r="EL57" s="239">
        <v>457.86</v>
      </c>
      <c r="EM57" s="239">
        <v>218.54</v>
      </c>
      <c r="EN57" s="239">
        <v>1170.182</v>
      </c>
      <c r="EO57" s="239">
        <v>1765.575</v>
      </c>
      <c r="EP57" s="239">
        <v>2182.709</v>
      </c>
      <c r="EQ57" s="239">
        <v>2739.253</v>
      </c>
      <c r="ER57" s="239">
        <v>2408.178</v>
      </c>
      <c r="ES57" s="239">
        <v>1834.958</v>
      </c>
      <c r="ET57" s="239">
        <f t="shared" si="28"/>
        <v>11865.435</v>
      </c>
      <c r="EU57" s="239">
        <f t="shared" si="23"/>
        <v>15158.62</v>
      </c>
      <c r="EV57" s="239">
        <v>957.221</v>
      </c>
      <c r="EW57" s="239">
        <v>545.844</v>
      </c>
      <c r="EX57" s="239">
        <v>55.232</v>
      </c>
      <c r="EY57" s="239">
        <v>79.971</v>
      </c>
      <c r="EZ57" s="239">
        <v>55.585</v>
      </c>
      <c r="FA57" s="239">
        <v>371.414</v>
      </c>
      <c r="FB57" s="239">
        <v>905.214</v>
      </c>
      <c r="FC57" s="239">
        <v>1836.203</v>
      </c>
      <c r="FD57" s="239">
        <v>1867.148</v>
      </c>
      <c r="FE57" s="239">
        <v>1882.939</v>
      </c>
      <c r="FF57" s="239">
        <v>3118.894</v>
      </c>
      <c r="FG57" s="287">
        <v>1981.045</v>
      </c>
      <c r="FH57" s="239">
        <v>1204.725</v>
      </c>
      <c r="FI57" s="239">
        <v>2192.538</v>
      </c>
      <c r="FJ57" s="239">
        <v>599.035</v>
      </c>
      <c r="FK57" s="239">
        <v>354.748</v>
      </c>
      <c r="FL57" s="239">
        <v>274.819</v>
      </c>
      <c r="FM57" s="239">
        <v>260.904</v>
      </c>
      <c r="FN57" s="239">
        <v>1445.5</v>
      </c>
      <c r="FO57" s="239">
        <v>2350.195</v>
      </c>
      <c r="FP57" s="239">
        <v>2426.313</v>
      </c>
      <c r="FQ57" s="239">
        <v>1685.913</v>
      </c>
      <c r="FR57" s="239">
        <v>1998.815</v>
      </c>
      <c r="FS57" s="239">
        <v>1852.069</v>
      </c>
      <c r="FT57" s="239">
        <v>900.72</v>
      </c>
      <c r="FU57" s="239">
        <v>454.864</v>
      </c>
      <c r="FV57" s="239">
        <v>567.92</v>
      </c>
      <c r="FW57" s="239">
        <v>0.46</v>
      </c>
      <c r="FX57" s="239">
        <v>123.941</v>
      </c>
      <c r="FY57" s="239">
        <v>84.42</v>
      </c>
      <c r="FZ57" s="239">
        <v>1100.4</v>
      </c>
      <c r="GA57" s="239">
        <v>1159</v>
      </c>
      <c r="GB57" s="239">
        <v>2097.441</v>
      </c>
      <c r="GC57" s="239">
        <v>2055.121</v>
      </c>
      <c r="GD57" s="239">
        <v>2054.097</v>
      </c>
      <c r="GE57" s="239">
        <v>2729.118</v>
      </c>
      <c r="GF57" s="239">
        <v>2631.9339999999997</v>
      </c>
      <c r="GG57" s="239">
        <v>917.093</v>
      </c>
      <c r="GH57" s="239">
        <v>1565.196</v>
      </c>
      <c r="GI57" s="239">
        <v>634.164</v>
      </c>
      <c r="GJ57" s="239"/>
      <c r="GK57" s="239"/>
      <c r="GL57" s="239"/>
      <c r="GM57" s="239"/>
      <c r="GN57" s="239"/>
      <c r="GO57" s="239"/>
      <c r="GP57" s="239"/>
      <c r="GQ57" s="239"/>
      <c r="GR57" s="239">
        <f t="shared" si="29"/>
        <v>1923.964</v>
      </c>
      <c r="GS57" s="239">
        <f t="shared" si="30"/>
        <v>5748.387</v>
      </c>
    </row>
    <row r="58" spans="1:201" s="84" customFormat="1" ht="18">
      <c r="A58" s="74" t="s">
        <v>24</v>
      </c>
      <c r="B58" s="87" t="s">
        <v>129</v>
      </c>
      <c r="C58" s="146">
        <v>3650</v>
      </c>
      <c r="D58" s="146"/>
      <c r="E58" s="146">
        <v>3920</v>
      </c>
      <c r="F58" s="146">
        <v>5143</v>
      </c>
      <c r="G58" s="146">
        <v>5696</v>
      </c>
      <c r="H58" s="146">
        <v>5281</v>
      </c>
      <c r="I58" s="146">
        <v>6605</v>
      </c>
      <c r="J58" s="147">
        <v>6678</v>
      </c>
      <c r="K58" s="146">
        <v>3939</v>
      </c>
      <c r="L58" s="148">
        <v>6330</v>
      </c>
      <c r="M58" s="148">
        <v>5785</v>
      </c>
      <c r="N58" s="148">
        <v>6396</v>
      </c>
      <c r="O58" s="154">
        <v>6474</v>
      </c>
      <c r="P58" s="145">
        <v>8454</v>
      </c>
      <c r="Q58" s="152">
        <v>6509</v>
      </c>
      <c r="R58" s="145">
        <v>7023</v>
      </c>
      <c r="S58" s="145">
        <v>7107</v>
      </c>
      <c r="T58" s="152">
        <v>7600</v>
      </c>
      <c r="U58" s="152">
        <v>5946</v>
      </c>
      <c r="V58" s="145">
        <v>6475</v>
      </c>
      <c r="W58" s="145">
        <v>5406</v>
      </c>
      <c r="X58" s="196">
        <v>6292.8</v>
      </c>
      <c r="Y58" s="239">
        <f t="shared" si="31"/>
        <v>7139.164000000001</v>
      </c>
      <c r="Z58" s="239">
        <f t="shared" si="32"/>
        <v>7953.395500000001</v>
      </c>
      <c r="AA58" s="239">
        <v>8683.6742</v>
      </c>
      <c r="AB58" s="239">
        <v>10007.402600000001</v>
      </c>
      <c r="AC58" s="239">
        <v>11020.537</v>
      </c>
      <c r="AD58" s="239">
        <v>11145.102</v>
      </c>
      <c r="AE58" s="239">
        <v>10872.760999999999</v>
      </c>
      <c r="AF58" s="239">
        <v>10421.064</v>
      </c>
      <c r="AG58" s="239">
        <v>591</v>
      </c>
      <c r="AH58" s="239">
        <v>406</v>
      </c>
      <c r="AI58" s="239">
        <v>534</v>
      </c>
      <c r="AJ58" s="239">
        <v>552</v>
      </c>
      <c r="AK58" s="239">
        <v>879</v>
      </c>
      <c r="AL58" s="239">
        <v>439</v>
      </c>
      <c r="AM58" s="239">
        <v>746</v>
      </c>
      <c r="AN58" s="239">
        <v>601</v>
      </c>
      <c r="AO58" s="239">
        <v>311</v>
      </c>
      <c r="AP58" s="239">
        <v>324</v>
      </c>
      <c r="AQ58" s="239">
        <v>257</v>
      </c>
      <c r="AR58" s="239">
        <v>306</v>
      </c>
      <c r="AS58" s="239">
        <f t="shared" si="24"/>
        <v>5946</v>
      </c>
      <c r="AT58" s="239">
        <v>413</v>
      </c>
      <c r="AU58" s="239">
        <v>346</v>
      </c>
      <c r="AV58" s="239">
        <v>464</v>
      </c>
      <c r="AW58" s="239">
        <v>455</v>
      </c>
      <c r="AX58" s="239">
        <v>1010</v>
      </c>
      <c r="AY58" s="239">
        <v>977</v>
      </c>
      <c r="AZ58" s="239">
        <v>787</v>
      </c>
      <c r="BA58" s="239">
        <v>462</v>
      </c>
      <c r="BB58" s="239">
        <v>207</v>
      </c>
      <c r="BC58" s="239">
        <v>379</v>
      </c>
      <c r="BD58" s="239">
        <v>486</v>
      </c>
      <c r="BE58" s="239">
        <v>489</v>
      </c>
      <c r="BF58" s="239">
        <f t="shared" si="25"/>
        <v>6475</v>
      </c>
      <c r="BG58" s="239">
        <v>265</v>
      </c>
      <c r="BH58" s="239">
        <v>293</v>
      </c>
      <c r="BI58" s="239">
        <v>433</v>
      </c>
      <c r="BJ58" s="239">
        <v>178</v>
      </c>
      <c r="BK58" s="239">
        <v>841</v>
      </c>
      <c r="BL58" s="239">
        <v>496</v>
      </c>
      <c r="BM58" s="239">
        <v>823</v>
      </c>
      <c r="BN58" s="239">
        <v>417</v>
      </c>
      <c r="BO58" s="239">
        <v>569</v>
      </c>
      <c r="BP58" s="239">
        <v>235</v>
      </c>
      <c r="BQ58" s="239">
        <v>370</v>
      </c>
      <c r="BR58" s="239">
        <v>486.1</v>
      </c>
      <c r="BS58" s="239">
        <f t="shared" si="21"/>
        <v>5406.1</v>
      </c>
      <c r="BT58" s="239">
        <f t="shared" si="33"/>
        <v>5406.1</v>
      </c>
      <c r="BU58" s="239">
        <v>348.4</v>
      </c>
      <c r="BV58" s="239">
        <v>425.4</v>
      </c>
      <c r="BW58" s="239">
        <v>725</v>
      </c>
      <c r="BX58" s="239">
        <v>371</v>
      </c>
      <c r="BY58" s="239">
        <v>774</v>
      </c>
      <c r="BZ58" s="239">
        <v>661</v>
      </c>
      <c r="CA58" s="239">
        <v>630</v>
      </c>
      <c r="CB58" s="239">
        <v>720</v>
      </c>
      <c r="CC58" s="239">
        <v>562</v>
      </c>
      <c r="CD58" s="239">
        <v>422</v>
      </c>
      <c r="CE58" s="239">
        <v>266</v>
      </c>
      <c r="CF58" s="239">
        <v>388</v>
      </c>
      <c r="CG58" s="239">
        <f t="shared" si="26"/>
        <v>6292.8</v>
      </c>
      <c r="CH58" s="239">
        <v>326</v>
      </c>
      <c r="CI58" s="239">
        <v>654</v>
      </c>
      <c r="CJ58" s="239">
        <v>823</v>
      </c>
      <c r="CK58" s="239">
        <v>428</v>
      </c>
      <c r="CL58" s="239">
        <v>830.8</v>
      </c>
      <c r="CM58" s="239">
        <v>932</v>
      </c>
      <c r="CN58" s="239">
        <v>890</v>
      </c>
      <c r="CO58" s="239">
        <v>753</v>
      </c>
      <c r="CP58" s="239">
        <v>538.274</v>
      </c>
      <c r="CQ58" s="239">
        <v>369.09</v>
      </c>
      <c r="CR58" s="239">
        <v>310</v>
      </c>
      <c r="CS58" s="239">
        <v>285</v>
      </c>
      <c r="CT58" s="239">
        <f t="shared" si="34"/>
        <v>7139.164000000001</v>
      </c>
      <c r="CU58" s="239">
        <v>593.704</v>
      </c>
      <c r="CV58" s="239">
        <v>537.3685</v>
      </c>
      <c r="CW58" s="239">
        <v>736.6585</v>
      </c>
      <c r="CX58" s="239">
        <v>531.163</v>
      </c>
      <c r="CY58" s="239">
        <v>1140.6215</v>
      </c>
      <c r="CZ58" s="239">
        <v>926.5295</v>
      </c>
      <c r="DA58" s="239">
        <v>750.3075</v>
      </c>
      <c r="DB58" s="239">
        <v>729.944</v>
      </c>
      <c r="DC58" s="239">
        <v>574.254</v>
      </c>
      <c r="DD58" s="239">
        <v>470.234</v>
      </c>
      <c r="DE58" s="239">
        <v>563.1405</v>
      </c>
      <c r="DF58" s="239">
        <v>399.4705</v>
      </c>
      <c r="DG58" s="239">
        <f t="shared" si="35"/>
        <v>7953.395500000001</v>
      </c>
      <c r="DH58" s="239">
        <v>927.1945000000001</v>
      </c>
      <c r="DI58" s="239">
        <v>703.3875</v>
      </c>
      <c r="DJ58" s="239">
        <v>855.186</v>
      </c>
      <c r="DK58" s="239">
        <f>63.96+728</f>
        <v>791.96</v>
      </c>
      <c r="DL58" s="239">
        <v>722.7711999999999</v>
      </c>
      <c r="DM58" s="239">
        <v>861</v>
      </c>
      <c r="DN58" s="239">
        <v>766.8</v>
      </c>
      <c r="DO58" s="239">
        <v>666.28</v>
      </c>
      <c r="DP58" s="239">
        <v>607.185</v>
      </c>
      <c r="DQ58" s="239">
        <v>682.83</v>
      </c>
      <c r="DR58" s="239">
        <v>580</v>
      </c>
      <c r="DS58" s="239">
        <v>519.08</v>
      </c>
      <c r="DT58" s="239">
        <f t="shared" si="27"/>
        <v>8683.6742</v>
      </c>
      <c r="DU58" s="239">
        <v>814.336</v>
      </c>
      <c r="DV58" s="239">
        <v>730.2280000000001</v>
      </c>
      <c r="DW58" s="239">
        <v>792.4114999999999</v>
      </c>
      <c r="DX58" s="239">
        <v>973.5</v>
      </c>
      <c r="DY58" s="239">
        <v>1051.03</v>
      </c>
      <c r="DZ58" s="239">
        <v>1058.5</v>
      </c>
      <c r="EA58" s="239">
        <v>1244.0631</v>
      </c>
      <c r="EB58" s="239">
        <v>974.294</v>
      </c>
      <c r="EC58" s="239">
        <v>706.0999999999999</v>
      </c>
      <c r="ED58" s="239">
        <v>506.34</v>
      </c>
      <c r="EE58" s="239">
        <v>419.2</v>
      </c>
      <c r="EF58" s="239">
        <v>737.4</v>
      </c>
      <c r="EG58" s="239">
        <f t="shared" si="22"/>
        <v>10007.402600000001</v>
      </c>
      <c r="EH58" s="239">
        <v>821.768</v>
      </c>
      <c r="EI58" s="239">
        <v>783.1204999999999</v>
      </c>
      <c r="EJ58" s="239">
        <v>1058.014</v>
      </c>
      <c r="EK58" s="239">
        <v>922.158</v>
      </c>
      <c r="EL58" s="239">
        <v>1168.6799999999998</v>
      </c>
      <c r="EM58" s="239">
        <v>1181.411</v>
      </c>
      <c r="EN58" s="239">
        <v>1250.734</v>
      </c>
      <c r="EO58" s="239">
        <v>684.8299999999999</v>
      </c>
      <c r="EP58" s="239">
        <v>803.553</v>
      </c>
      <c r="EQ58" s="239">
        <v>603.078</v>
      </c>
      <c r="ER58" s="239">
        <v>793.5615</v>
      </c>
      <c r="ES58" s="239">
        <v>949.629</v>
      </c>
      <c r="ET58" s="239">
        <f t="shared" si="28"/>
        <v>10007.402600000001</v>
      </c>
      <c r="EU58" s="239">
        <f t="shared" si="23"/>
        <v>11020.537</v>
      </c>
      <c r="EV58" s="240">
        <v>835.656</v>
      </c>
      <c r="EW58" s="240">
        <v>977.394</v>
      </c>
      <c r="EX58" s="240">
        <v>1549.256</v>
      </c>
      <c r="EY58" s="239">
        <v>767.2400000000001</v>
      </c>
      <c r="EZ58" s="239">
        <v>926.342</v>
      </c>
      <c r="FA58" s="239">
        <v>1589.794</v>
      </c>
      <c r="FB58" s="239">
        <v>932.8089999999999</v>
      </c>
      <c r="FC58" s="239">
        <v>801.1819999999999</v>
      </c>
      <c r="FD58" s="240">
        <v>1096.6479999999992</v>
      </c>
      <c r="FE58" s="239">
        <v>470.462</v>
      </c>
      <c r="FF58" s="239">
        <v>469.851</v>
      </c>
      <c r="FG58" s="287">
        <v>728.4680000000001</v>
      </c>
      <c r="FH58" s="240">
        <v>780.386</v>
      </c>
      <c r="FI58" s="240">
        <v>1211.76</v>
      </c>
      <c r="FJ58" s="240">
        <v>941.88</v>
      </c>
      <c r="FK58" s="240">
        <v>1170.221</v>
      </c>
      <c r="FL58" s="240">
        <v>1320.915</v>
      </c>
      <c r="FM58" s="240">
        <v>1064.146</v>
      </c>
      <c r="FN58" s="240">
        <v>1279.935</v>
      </c>
      <c r="FO58" s="240">
        <v>1073.696</v>
      </c>
      <c r="FP58" s="240">
        <v>771.508</v>
      </c>
      <c r="FQ58" s="240">
        <v>379.158</v>
      </c>
      <c r="FR58" s="240">
        <v>383.156</v>
      </c>
      <c r="FS58" s="240">
        <v>496</v>
      </c>
      <c r="FT58" s="240">
        <v>897.228</v>
      </c>
      <c r="FU58" s="240">
        <v>808.587</v>
      </c>
      <c r="FV58" s="240">
        <v>884.306</v>
      </c>
      <c r="FW58" s="240">
        <v>958.439</v>
      </c>
      <c r="FX58" s="240">
        <v>1162.4</v>
      </c>
      <c r="FY58" s="240">
        <v>846.11</v>
      </c>
      <c r="FZ58" s="240">
        <v>1199.2</v>
      </c>
      <c r="GA58" s="240">
        <v>921.621</v>
      </c>
      <c r="GB58" s="240">
        <v>612.717</v>
      </c>
      <c r="GC58" s="240">
        <v>658.5</v>
      </c>
      <c r="GD58" s="240">
        <v>658.5</v>
      </c>
      <c r="GE58" s="240">
        <v>813.456</v>
      </c>
      <c r="GF58" s="240">
        <v>909.844</v>
      </c>
      <c r="GG58" s="240">
        <v>916.716</v>
      </c>
      <c r="GH58" s="240">
        <v>863.397</v>
      </c>
      <c r="GI58" s="240">
        <v>878.016</v>
      </c>
      <c r="GJ58" s="240"/>
      <c r="GK58" s="240"/>
      <c r="GL58" s="240"/>
      <c r="GM58" s="240"/>
      <c r="GN58" s="240"/>
      <c r="GO58" s="240"/>
      <c r="GP58" s="240"/>
      <c r="GQ58" s="240"/>
      <c r="GR58" s="239">
        <f t="shared" si="29"/>
        <v>3548.56</v>
      </c>
      <c r="GS58" s="239">
        <f t="shared" si="30"/>
        <v>3567.973</v>
      </c>
    </row>
    <row r="59" spans="1:201" ht="15.75">
      <c r="A59" s="31" t="s">
        <v>25</v>
      </c>
      <c r="B59" s="31" t="s">
        <v>26</v>
      </c>
      <c r="C59" s="142">
        <v>1</v>
      </c>
      <c r="D59" s="142"/>
      <c r="E59" s="142">
        <v>3</v>
      </c>
      <c r="F59" s="142">
        <v>3</v>
      </c>
      <c r="G59" s="142">
        <v>1</v>
      </c>
      <c r="H59" s="142">
        <v>1</v>
      </c>
      <c r="I59" s="142">
        <v>1</v>
      </c>
      <c r="J59" s="143" t="s">
        <v>66</v>
      </c>
      <c r="K59" s="142" t="s">
        <v>14</v>
      </c>
      <c r="L59" s="137" t="s">
        <v>14</v>
      </c>
      <c r="M59" s="136" t="s">
        <v>66</v>
      </c>
      <c r="N59" s="137" t="s">
        <v>14</v>
      </c>
      <c r="O59" s="70" t="s">
        <v>14</v>
      </c>
      <c r="P59" s="70" t="s">
        <v>14</v>
      </c>
      <c r="Q59" s="70">
        <v>1</v>
      </c>
      <c r="R59" s="70" t="s">
        <v>14</v>
      </c>
      <c r="S59" s="70" t="s">
        <v>14</v>
      </c>
      <c r="T59" s="70" t="s">
        <v>14</v>
      </c>
      <c r="U59" s="70" t="s">
        <v>14</v>
      </c>
      <c r="V59" s="70" t="s">
        <v>14</v>
      </c>
      <c r="W59" s="70" t="s">
        <v>14</v>
      </c>
      <c r="X59" s="196">
        <v>2</v>
      </c>
      <c r="Y59" s="239" t="s">
        <v>14</v>
      </c>
      <c r="Z59" s="239" t="s">
        <v>14</v>
      </c>
      <c r="AA59" s="239" t="s">
        <v>14</v>
      </c>
      <c r="AB59" s="239">
        <v>0</v>
      </c>
      <c r="AC59" s="239">
        <v>0</v>
      </c>
      <c r="AD59" s="239">
        <v>0</v>
      </c>
      <c r="AE59" s="250">
        <v>0.25</v>
      </c>
      <c r="AF59" s="239">
        <v>1.65</v>
      </c>
      <c r="AG59" s="250" t="s">
        <v>14</v>
      </c>
      <c r="AH59" s="250" t="s">
        <v>14</v>
      </c>
      <c r="AI59" s="250" t="s">
        <v>14</v>
      </c>
      <c r="AJ59" s="250" t="s">
        <v>14</v>
      </c>
      <c r="AK59" s="250" t="s">
        <v>14</v>
      </c>
      <c r="AL59" s="250" t="s">
        <v>14</v>
      </c>
      <c r="AM59" s="250" t="s">
        <v>14</v>
      </c>
      <c r="AN59" s="250" t="s">
        <v>14</v>
      </c>
      <c r="AO59" s="250" t="s">
        <v>14</v>
      </c>
      <c r="AP59" s="250" t="s">
        <v>14</v>
      </c>
      <c r="AQ59" s="250" t="s">
        <v>14</v>
      </c>
      <c r="AR59" s="250" t="s">
        <v>14</v>
      </c>
      <c r="AS59" s="250" t="s">
        <v>14</v>
      </c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>
        <f t="shared" si="25"/>
        <v>0</v>
      </c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>
        <v>0</v>
      </c>
      <c r="BR59" s="250">
        <v>0</v>
      </c>
      <c r="BS59" s="250">
        <f t="shared" si="21"/>
        <v>0</v>
      </c>
      <c r="BT59" s="250" t="s">
        <v>14</v>
      </c>
      <c r="BU59" s="250">
        <v>1</v>
      </c>
      <c r="BV59" s="250">
        <v>1</v>
      </c>
      <c r="BW59" s="250"/>
      <c r="BX59" s="250">
        <v>0</v>
      </c>
      <c r="BY59" s="250"/>
      <c r="BZ59" s="250">
        <v>0</v>
      </c>
      <c r="CA59" s="250"/>
      <c r="CB59" s="250"/>
      <c r="CC59" s="250">
        <v>0</v>
      </c>
      <c r="CD59" s="250">
        <v>0</v>
      </c>
      <c r="CE59" s="250"/>
      <c r="CF59" s="250"/>
      <c r="CG59" s="250">
        <f t="shared" si="26"/>
        <v>2</v>
      </c>
      <c r="CH59" s="250" t="s">
        <v>14</v>
      </c>
      <c r="CI59" s="250"/>
      <c r="CJ59" s="250"/>
      <c r="CK59" s="250">
        <v>0</v>
      </c>
      <c r="CL59" s="250"/>
      <c r="CM59" s="250"/>
      <c r="CN59" s="250">
        <v>0</v>
      </c>
      <c r="CO59" s="250"/>
      <c r="CP59" s="250">
        <v>0</v>
      </c>
      <c r="CQ59" s="250">
        <v>0</v>
      </c>
      <c r="CR59" s="250">
        <v>0</v>
      </c>
      <c r="CS59" s="250">
        <v>0</v>
      </c>
      <c r="CT59" s="250" t="s">
        <v>14</v>
      </c>
      <c r="CU59" s="250" t="s">
        <v>14</v>
      </c>
      <c r="CV59" s="250" t="s">
        <v>14</v>
      </c>
      <c r="CW59" s="250" t="s">
        <v>14</v>
      </c>
      <c r="CX59" s="250" t="s">
        <v>14</v>
      </c>
      <c r="CY59" s="250" t="s">
        <v>14</v>
      </c>
      <c r="CZ59" s="250" t="s">
        <v>14</v>
      </c>
      <c r="DA59" s="250" t="s">
        <v>14</v>
      </c>
      <c r="DB59" s="250" t="s">
        <v>14</v>
      </c>
      <c r="DC59" s="250" t="s">
        <v>14</v>
      </c>
      <c r="DD59" s="250" t="s">
        <v>14</v>
      </c>
      <c r="DE59" s="250" t="s">
        <v>14</v>
      </c>
      <c r="DF59" s="250" t="s">
        <v>14</v>
      </c>
      <c r="DG59" s="250" t="s">
        <v>14</v>
      </c>
      <c r="DH59" s="250" t="s">
        <v>14</v>
      </c>
      <c r="DI59" s="250" t="s">
        <v>14</v>
      </c>
      <c r="DJ59" s="250">
        <v>0</v>
      </c>
      <c r="DK59" s="250">
        <v>0</v>
      </c>
      <c r="DL59" s="250"/>
      <c r="DM59" s="250"/>
      <c r="DN59" s="250"/>
      <c r="DO59" s="250">
        <v>0</v>
      </c>
      <c r="DP59" s="250"/>
      <c r="DQ59" s="250"/>
      <c r="DR59" s="250">
        <v>0</v>
      </c>
      <c r="DS59" s="250">
        <v>0</v>
      </c>
      <c r="DT59" s="250">
        <f t="shared" si="27"/>
        <v>0</v>
      </c>
      <c r="DU59" s="250"/>
      <c r="DV59" s="250"/>
      <c r="DW59" s="250"/>
      <c r="DX59" s="250"/>
      <c r="DY59" s="250"/>
      <c r="DZ59" s="250"/>
      <c r="EA59" s="250"/>
      <c r="EB59" s="250"/>
      <c r="EC59" s="250"/>
      <c r="ED59" s="250"/>
      <c r="EE59" s="250"/>
      <c r="EF59" s="250"/>
      <c r="EG59" s="250">
        <f t="shared" si="22"/>
        <v>0</v>
      </c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>
        <f t="shared" si="28"/>
        <v>0</v>
      </c>
      <c r="EU59" s="250">
        <f t="shared" si="23"/>
        <v>0</v>
      </c>
      <c r="EV59" s="250"/>
      <c r="EW59" s="250"/>
      <c r="EX59" s="250"/>
      <c r="EY59" s="250"/>
      <c r="EZ59" s="250"/>
      <c r="FA59" s="250"/>
      <c r="FB59" s="250"/>
      <c r="FC59" s="250"/>
      <c r="FD59" s="250"/>
      <c r="FE59" s="250"/>
      <c r="FF59" s="250"/>
      <c r="FG59" s="261"/>
      <c r="FH59" s="250"/>
      <c r="FI59" s="250"/>
      <c r="FJ59" s="250"/>
      <c r="FK59" s="250">
        <v>0.25</v>
      </c>
      <c r="FL59" s="250"/>
      <c r="FM59" s="250"/>
      <c r="FN59" s="250"/>
      <c r="FO59" s="250"/>
      <c r="FP59" s="250"/>
      <c r="FQ59" s="250"/>
      <c r="FR59" s="250"/>
      <c r="FS59" s="250"/>
      <c r="FT59" s="250"/>
      <c r="FU59" s="250"/>
      <c r="FV59" s="250">
        <v>1.65</v>
      </c>
      <c r="FW59" s="250">
        <v>0</v>
      </c>
      <c r="FX59" s="250"/>
      <c r="FY59" s="250">
        <v>0</v>
      </c>
      <c r="FZ59" s="250"/>
      <c r="GA59" s="250"/>
      <c r="GB59" s="250"/>
      <c r="GC59" s="250"/>
      <c r="GD59" s="250"/>
      <c r="GE59" s="250"/>
      <c r="GF59" s="250"/>
      <c r="GG59" s="250">
        <v>0</v>
      </c>
      <c r="GH59" s="250">
        <v>0</v>
      </c>
      <c r="GI59" s="250">
        <v>0</v>
      </c>
      <c r="GJ59" s="250"/>
      <c r="GK59" s="250"/>
      <c r="GL59" s="250"/>
      <c r="GM59" s="250"/>
      <c r="GN59" s="250"/>
      <c r="GO59" s="250"/>
      <c r="GP59" s="250"/>
      <c r="GQ59" s="250"/>
      <c r="GR59" s="239">
        <f t="shared" si="29"/>
        <v>1.65</v>
      </c>
      <c r="GS59" s="306">
        <f t="shared" si="30"/>
        <v>0</v>
      </c>
    </row>
    <row r="60" spans="1:201" ht="15.75">
      <c r="A60" s="31" t="s">
        <v>27</v>
      </c>
      <c r="B60" s="31" t="s">
        <v>28</v>
      </c>
      <c r="C60" s="142">
        <v>855</v>
      </c>
      <c r="D60" s="142"/>
      <c r="E60" s="142">
        <v>663</v>
      </c>
      <c r="F60" s="142">
        <v>40</v>
      </c>
      <c r="G60" s="142">
        <v>25</v>
      </c>
      <c r="H60" s="142" t="s">
        <v>14</v>
      </c>
      <c r="I60" s="142">
        <v>3</v>
      </c>
      <c r="J60" s="143">
        <v>1</v>
      </c>
      <c r="K60" s="142">
        <v>15</v>
      </c>
      <c r="L60" s="137">
        <v>10</v>
      </c>
      <c r="M60" s="136" t="s">
        <v>14</v>
      </c>
      <c r="N60" s="137">
        <v>1</v>
      </c>
      <c r="O60" s="70" t="s">
        <v>14</v>
      </c>
      <c r="P60" s="70" t="s">
        <v>14</v>
      </c>
      <c r="Q60" s="70" t="s">
        <v>14</v>
      </c>
      <c r="R60" s="70" t="s">
        <v>14</v>
      </c>
      <c r="S60" s="70" t="s">
        <v>14</v>
      </c>
      <c r="T60" s="138" t="s">
        <v>14</v>
      </c>
      <c r="U60" s="138" t="s">
        <v>14</v>
      </c>
      <c r="V60" s="70">
        <v>1532</v>
      </c>
      <c r="W60" s="70" t="s">
        <v>14</v>
      </c>
      <c r="X60" s="196">
        <v>10</v>
      </c>
      <c r="Y60" s="239" t="s">
        <v>14</v>
      </c>
      <c r="Z60" s="239" t="s">
        <v>14</v>
      </c>
      <c r="AA60" s="239" t="s">
        <v>14</v>
      </c>
      <c r="AB60" s="250">
        <v>0.325</v>
      </c>
      <c r="AC60" s="239">
        <v>2.075</v>
      </c>
      <c r="AD60" s="239">
        <v>174</v>
      </c>
      <c r="AE60" s="250">
        <v>0.2</v>
      </c>
      <c r="AF60" s="239">
        <v>0</v>
      </c>
      <c r="AG60" s="239" t="s">
        <v>14</v>
      </c>
      <c r="AH60" s="239" t="s">
        <v>14</v>
      </c>
      <c r="AI60" s="239" t="s">
        <v>14</v>
      </c>
      <c r="AJ60" s="239" t="s">
        <v>14</v>
      </c>
      <c r="AK60" s="239" t="s">
        <v>14</v>
      </c>
      <c r="AL60" s="239" t="s">
        <v>14</v>
      </c>
      <c r="AM60" s="239" t="s">
        <v>14</v>
      </c>
      <c r="AN60" s="239" t="s">
        <v>14</v>
      </c>
      <c r="AO60" s="239" t="s">
        <v>14</v>
      </c>
      <c r="AP60" s="239" t="s">
        <v>14</v>
      </c>
      <c r="AQ60" s="239" t="s">
        <v>14</v>
      </c>
      <c r="AR60" s="239" t="s">
        <v>14</v>
      </c>
      <c r="AS60" s="239" t="s">
        <v>14</v>
      </c>
      <c r="AT60" s="239"/>
      <c r="AU60" s="239"/>
      <c r="AV60" s="239"/>
      <c r="AW60" s="239"/>
      <c r="AX60" s="239"/>
      <c r="AY60" s="239"/>
      <c r="AZ60" s="239"/>
      <c r="BA60" s="239"/>
      <c r="BB60" s="239">
        <v>1532</v>
      </c>
      <c r="BC60" s="239"/>
      <c r="BD60" s="239"/>
      <c r="BE60" s="239"/>
      <c r="BF60" s="239">
        <f t="shared" si="25"/>
        <v>1532</v>
      </c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>
        <v>0</v>
      </c>
      <c r="BR60" s="239"/>
      <c r="BS60" s="239">
        <f t="shared" si="21"/>
        <v>0</v>
      </c>
      <c r="BT60" s="239" t="s">
        <v>14</v>
      </c>
      <c r="BU60" s="239" t="s">
        <v>14</v>
      </c>
      <c r="BV60" s="239" t="s">
        <v>14</v>
      </c>
      <c r="BW60" s="239"/>
      <c r="BX60" s="239">
        <v>0</v>
      </c>
      <c r="BY60" s="239"/>
      <c r="BZ60" s="239">
        <v>0</v>
      </c>
      <c r="CA60" s="239"/>
      <c r="CB60" s="239"/>
      <c r="CC60" s="239">
        <v>0</v>
      </c>
      <c r="CD60" s="239">
        <v>0</v>
      </c>
      <c r="CE60" s="239">
        <v>10</v>
      </c>
      <c r="CF60" s="239"/>
      <c r="CG60" s="239">
        <f t="shared" si="26"/>
        <v>10</v>
      </c>
      <c r="CH60" s="239" t="s">
        <v>14</v>
      </c>
      <c r="CI60" s="239"/>
      <c r="CJ60" s="239"/>
      <c r="CK60" s="239">
        <v>0</v>
      </c>
      <c r="CL60" s="239"/>
      <c r="CM60" s="239"/>
      <c r="CN60" s="239">
        <v>0</v>
      </c>
      <c r="CO60" s="239"/>
      <c r="CP60" s="239">
        <v>0</v>
      </c>
      <c r="CQ60" s="239"/>
      <c r="CR60" s="239">
        <v>0</v>
      </c>
      <c r="CS60" s="239">
        <v>0</v>
      </c>
      <c r="CT60" s="239" t="s">
        <v>14</v>
      </c>
      <c r="CU60" s="239" t="s">
        <v>14</v>
      </c>
      <c r="CV60" s="239" t="s">
        <v>14</v>
      </c>
      <c r="CW60" s="239" t="s">
        <v>14</v>
      </c>
      <c r="CX60" s="239" t="s">
        <v>14</v>
      </c>
      <c r="CY60" s="239" t="s">
        <v>14</v>
      </c>
      <c r="CZ60" s="239" t="s">
        <v>14</v>
      </c>
      <c r="DA60" s="239" t="s">
        <v>14</v>
      </c>
      <c r="DB60" s="239" t="s">
        <v>14</v>
      </c>
      <c r="DC60" s="239" t="s">
        <v>14</v>
      </c>
      <c r="DD60" s="239" t="s">
        <v>14</v>
      </c>
      <c r="DE60" s="239" t="s">
        <v>14</v>
      </c>
      <c r="DF60" s="239" t="s">
        <v>14</v>
      </c>
      <c r="DG60" s="239" t="s">
        <v>14</v>
      </c>
      <c r="DH60" s="239" t="s">
        <v>14</v>
      </c>
      <c r="DI60" s="239" t="s">
        <v>14</v>
      </c>
      <c r="DJ60" s="239">
        <v>0</v>
      </c>
      <c r="DK60" s="239">
        <v>0</v>
      </c>
      <c r="DL60" s="239"/>
      <c r="DM60" s="239"/>
      <c r="DN60" s="239"/>
      <c r="DO60" s="239">
        <v>0</v>
      </c>
      <c r="DP60" s="239"/>
      <c r="DQ60" s="239"/>
      <c r="DR60" s="239">
        <v>0</v>
      </c>
      <c r="DS60" s="239">
        <v>0</v>
      </c>
      <c r="DT60" s="239">
        <f t="shared" si="27"/>
        <v>0</v>
      </c>
      <c r="DU60" s="239"/>
      <c r="DV60" s="239"/>
      <c r="DW60" s="239"/>
      <c r="DX60" s="239"/>
      <c r="DY60" s="239"/>
      <c r="DZ60" s="239">
        <v>0.075</v>
      </c>
      <c r="EA60" s="239"/>
      <c r="EB60" s="239">
        <v>0.25</v>
      </c>
      <c r="EC60" s="239"/>
      <c r="ED60" s="239"/>
      <c r="EE60" s="239"/>
      <c r="EF60" s="239"/>
      <c r="EG60" s="239">
        <f t="shared" si="22"/>
        <v>0.325</v>
      </c>
      <c r="EH60" s="239"/>
      <c r="EI60" s="239"/>
      <c r="EJ60" s="239"/>
      <c r="EK60" s="239">
        <v>0.5</v>
      </c>
      <c r="EL60" s="239"/>
      <c r="EM60" s="239"/>
      <c r="EN60" s="239"/>
      <c r="EO60" s="239">
        <v>0.6</v>
      </c>
      <c r="EP60" s="239">
        <v>0.85</v>
      </c>
      <c r="EQ60" s="239">
        <v>0.125</v>
      </c>
      <c r="ER60" s="239"/>
      <c r="ES60" s="239"/>
      <c r="ET60" s="239">
        <f t="shared" si="28"/>
        <v>0.325</v>
      </c>
      <c r="EU60" s="239">
        <f t="shared" si="23"/>
        <v>2.075</v>
      </c>
      <c r="EV60" s="239">
        <v>14</v>
      </c>
      <c r="EW60" s="239"/>
      <c r="EX60" s="239"/>
      <c r="EY60" s="239"/>
      <c r="EZ60" s="239"/>
      <c r="FA60" s="239"/>
      <c r="FB60" s="239"/>
      <c r="FC60" s="239"/>
      <c r="FD60" s="239">
        <v>160</v>
      </c>
      <c r="FE60" s="239"/>
      <c r="FF60" s="239"/>
      <c r="FG60" s="239"/>
      <c r="FH60" s="239"/>
      <c r="FI60" s="239"/>
      <c r="FJ60" s="239"/>
      <c r="FK60" s="239">
        <v>0.2</v>
      </c>
      <c r="FL60" s="239"/>
      <c r="FM60" s="239"/>
      <c r="FN60" s="239"/>
      <c r="FO60" s="239"/>
      <c r="FP60" s="239"/>
      <c r="FQ60" s="239"/>
      <c r="FR60" s="239"/>
      <c r="FS60" s="239"/>
      <c r="FT60" s="239"/>
      <c r="FU60" s="239"/>
      <c r="FV60" s="239"/>
      <c r="FW60" s="239">
        <v>0</v>
      </c>
      <c r="FX60" s="239"/>
      <c r="FY60" s="239">
        <v>0</v>
      </c>
      <c r="FZ60" s="239"/>
      <c r="GA60" s="239"/>
      <c r="GB60" s="239"/>
      <c r="GC60" s="239"/>
      <c r="GD60" s="239"/>
      <c r="GE60" s="239"/>
      <c r="GF60" s="239"/>
      <c r="GG60" s="239">
        <v>0</v>
      </c>
      <c r="GH60" s="239">
        <v>0</v>
      </c>
      <c r="GI60" s="239">
        <v>0</v>
      </c>
      <c r="GJ60" s="239"/>
      <c r="GK60" s="239"/>
      <c r="GL60" s="239"/>
      <c r="GM60" s="239"/>
      <c r="GN60" s="239"/>
      <c r="GO60" s="239"/>
      <c r="GP60" s="239"/>
      <c r="GQ60" s="239"/>
      <c r="GR60" s="239">
        <f t="shared" si="29"/>
        <v>0</v>
      </c>
      <c r="GS60" s="306">
        <f t="shared" si="30"/>
        <v>0</v>
      </c>
    </row>
    <row r="61" spans="1:201" ht="15.75">
      <c r="A61" s="31" t="s">
        <v>104</v>
      </c>
      <c r="B61" s="31" t="s">
        <v>105</v>
      </c>
      <c r="C61" s="142"/>
      <c r="D61" s="142"/>
      <c r="E61" s="142"/>
      <c r="F61" s="142"/>
      <c r="G61" s="142"/>
      <c r="H61" s="142"/>
      <c r="I61" s="142"/>
      <c r="J61" s="143"/>
      <c r="K61" s="142"/>
      <c r="L61" s="137"/>
      <c r="M61" s="136"/>
      <c r="N61" s="137"/>
      <c r="O61" s="70"/>
      <c r="P61" s="70"/>
      <c r="Q61" s="138"/>
      <c r="R61" s="70"/>
      <c r="S61" s="70"/>
      <c r="T61" s="138"/>
      <c r="U61" s="138"/>
      <c r="V61" s="70"/>
      <c r="W61" s="70"/>
      <c r="X61" s="196"/>
      <c r="Y61" s="239"/>
      <c r="Z61" s="239"/>
      <c r="AA61" s="239"/>
      <c r="AB61" s="239">
        <v>3716.325</v>
      </c>
      <c r="AC61" s="239">
        <v>6654.325000000001</v>
      </c>
      <c r="AD61" s="239">
        <v>8924.895</v>
      </c>
      <c r="AE61" s="239">
        <v>9578.425</v>
      </c>
      <c r="AF61" s="239">
        <v>15876.39</v>
      </c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>
        <v>35</v>
      </c>
      <c r="EC61" s="239">
        <v>243.1</v>
      </c>
      <c r="ED61" s="239">
        <v>1153.8</v>
      </c>
      <c r="EE61" s="239">
        <v>1357.8</v>
      </c>
      <c r="EF61" s="239">
        <v>926.625</v>
      </c>
      <c r="EG61" s="239">
        <f t="shared" si="22"/>
        <v>3716.325</v>
      </c>
      <c r="EH61" s="239">
        <v>554.825</v>
      </c>
      <c r="EI61" s="239">
        <v>560.475</v>
      </c>
      <c r="EJ61" s="239">
        <v>722.85</v>
      </c>
      <c r="EK61" s="239">
        <v>709.925</v>
      </c>
      <c r="EL61" s="239">
        <v>871.025</v>
      </c>
      <c r="EM61" s="239">
        <v>599.275</v>
      </c>
      <c r="EN61" s="239">
        <v>741.075</v>
      </c>
      <c r="EO61" s="239">
        <v>336.375</v>
      </c>
      <c r="EP61" s="239">
        <v>220.75</v>
      </c>
      <c r="EQ61" s="239">
        <v>273.425</v>
      </c>
      <c r="ER61" s="239">
        <v>454.1</v>
      </c>
      <c r="ES61" s="239">
        <v>610.225</v>
      </c>
      <c r="ET61" s="239">
        <f t="shared" si="28"/>
        <v>3716.325</v>
      </c>
      <c r="EU61" s="239">
        <f t="shared" si="23"/>
        <v>6654.325000000001</v>
      </c>
      <c r="EV61" s="239">
        <v>817.15</v>
      </c>
      <c r="EW61" s="239">
        <v>715.75</v>
      </c>
      <c r="EX61" s="239">
        <v>518.575</v>
      </c>
      <c r="EY61" s="239">
        <v>424.225</v>
      </c>
      <c r="EZ61" s="239">
        <v>509.225</v>
      </c>
      <c r="FA61" s="239">
        <v>859.7</v>
      </c>
      <c r="FB61" s="239">
        <v>722.125</v>
      </c>
      <c r="FC61" s="239">
        <v>756.075</v>
      </c>
      <c r="FD61" s="239">
        <v>704.17</v>
      </c>
      <c r="FE61" s="239">
        <v>978.55</v>
      </c>
      <c r="FF61" s="239">
        <v>830.15</v>
      </c>
      <c r="FG61" s="287">
        <v>1089.2</v>
      </c>
      <c r="FH61" s="239">
        <v>1040.625</v>
      </c>
      <c r="FI61" s="239">
        <v>752.95</v>
      </c>
      <c r="FJ61" s="239">
        <v>780.5</v>
      </c>
      <c r="FK61" s="239">
        <v>655.875</v>
      </c>
      <c r="FL61" s="239">
        <v>769.075</v>
      </c>
      <c r="FM61" s="239">
        <v>875.85</v>
      </c>
      <c r="FN61" s="239">
        <v>497.5</v>
      </c>
      <c r="FO61" s="239">
        <v>773.25</v>
      </c>
      <c r="FP61" s="239">
        <v>545.925</v>
      </c>
      <c r="FQ61" s="239">
        <v>583.15</v>
      </c>
      <c r="FR61" s="239">
        <v>779</v>
      </c>
      <c r="FS61" s="239">
        <v>1524.725</v>
      </c>
      <c r="FT61" s="239">
        <v>1806.375</v>
      </c>
      <c r="FU61" s="239">
        <v>1098.85</v>
      </c>
      <c r="FV61" s="239">
        <v>1380.15</v>
      </c>
      <c r="FW61" s="239">
        <v>1806.5</v>
      </c>
      <c r="FX61" s="239">
        <v>767.95</v>
      </c>
      <c r="FY61" s="239">
        <v>1062.65</v>
      </c>
      <c r="FZ61" s="239">
        <v>707.625</v>
      </c>
      <c r="GA61" s="239">
        <v>641.275</v>
      </c>
      <c r="GB61" s="239">
        <v>658.365</v>
      </c>
      <c r="GC61" s="239">
        <v>2140.625</v>
      </c>
      <c r="GD61" s="239">
        <v>2108.395</v>
      </c>
      <c r="GE61" s="239">
        <v>1697.63</v>
      </c>
      <c r="GF61" s="239">
        <v>2383.05</v>
      </c>
      <c r="GG61" s="239">
        <v>1042.975</v>
      </c>
      <c r="GH61" s="239">
        <v>1558.025</v>
      </c>
      <c r="GI61" s="239">
        <v>1546.375</v>
      </c>
      <c r="GJ61" s="239"/>
      <c r="GK61" s="239"/>
      <c r="GL61" s="239"/>
      <c r="GM61" s="239"/>
      <c r="GN61" s="239"/>
      <c r="GO61" s="239"/>
      <c r="GP61" s="239"/>
      <c r="GQ61" s="239"/>
      <c r="GR61" s="239">
        <f t="shared" si="29"/>
        <v>6091.875</v>
      </c>
      <c r="GS61" s="239">
        <f t="shared" si="30"/>
        <v>6530.425</v>
      </c>
    </row>
    <row r="62" spans="1:201" ht="15.75">
      <c r="A62" s="31" t="s">
        <v>106</v>
      </c>
      <c r="B62" s="31" t="s">
        <v>107</v>
      </c>
      <c r="C62" s="142"/>
      <c r="D62" s="142"/>
      <c r="E62" s="142"/>
      <c r="F62" s="142"/>
      <c r="G62" s="142"/>
      <c r="H62" s="142"/>
      <c r="I62" s="142"/>
      <c r="J62" s="143"/>
      <c r="K62" s="142"/>
      <c r="L62" s="137"/>
      <c r="M62" s="136"/>
      <c r="N62" s="137"/>
      <c r="O62" s="70"/>
      <c r="P62" s="70"/>
      <c r="Q62" s="138"/>
      <c r="R62" s="70"/>
      <c r="S62" s="70"/>
      <c r="T62" s="138"/>
      <c r="U62" s="138"/>
      <c r="V62" s="70"/>
      <c r="W62" s="70"/>
      <c r="X62" s="196"/>
      <c r="Y62" s="239"/>
      <c r="Z62" s="239"/>
      <c r="AA62" s="239"/>
      <c r="AB62" s="239">
        <v>4.105</v>
      </c>
      <c r="AC62" s="239">
        <v>27.130000000000003</v>
      </c>
      <c r="AD62" s="239">
        <v>48.8</v>
      </c>
      <c r="AE62" s="239">
        <v>33.739999999999995</v>
      </c>
      <c r="AF62" s="239">
        <v>31.299999999999997</v>
      </c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>
        <v>0.173</v>
      </c>
      <c r="DZ62" s="239">
        <v>0.452</v>
      </c>
      <c r="EA62" s="239">
        <v>0.7</v>
      </c>
      <c r="EB62" s="239">
        <v>0.6</v>
      </c>
      <c r="EC62" s="239"/>
      <c r="ED62" s="239"/>
      <c r="EE62" s="239">
        <v>0.6</v>
      </c>
      <c r="EF62" s="239">
        <v>1.58</v>
      </c>
      <c r="EG62" s="239">
        <f t="shared" si="22"/>
        <v>4.105</v>
      </c>
      <c r="EH62" s="239">
        <v>2.05</v>
      </c>
      <c r="EI62" s="239">
        <v>0.5</v>
      </c>
      <c r="EJ62" s="239">
        <v>2.95</v>
      </c>
      <c r="EK62" s="239">
        <v>2.52</v>
      </c>
      <c r="EL62" s="239">
        <v>0.7</v>
      </c>
      <c r="EM62" s="239">
        <v>1.1</v>
      </c>
      <c r="EN62" s="239">
        <v>1.4</v>
      </c>
      <c r="EO62" s="239">
        <v>1.25</v>
      </c>
      <c r="EP62" s="239">
        <v>4.49</v>
      </c>
      <c r="EQ62" s="239">
        <v>2.57</v>
      </c>
      <c r="ER62" s="239">
        <v>2</v>
      </c>
      <c r="ES62" s="239">
        <v>5.6</v>
      </c>
      <c r="ET62" s="239">
        <f t="shared" si="28"/>
        <v>4.105</v>
      </c>
      <c r="EU62" s="239">
        <f t="shared" si="23"/>
        <v>27.130000000000003</v>
      </c>
      <c r="EV62" s="239">
        <v>3.09</v>
      </c>
      <c r="EW62" s="239">
        <v>1.5</v>
      </c>
      <c r="EX62" s="239">
        <v>6.72</v>
      </c>
      <c r="EY62" s="239">
        <v>7.9</v>
      </c>
      <c r="EZ62" s="239"/>
      <c r="FA62" s="239">
        <v>2.15</v>
      </c>
      <c r="FB62" s="239">
        <v>0.8</v>
      </c>
      <c r="FC62" s="239">
        <v>2.115</v>
      </c>
      <c r="FD62" s="239">
        <v>4.15</v>
      </c>
      <c r="FE62" s="239">
        <v>3.07</v>
      </c>
      <c r="FF62" s="239">
        <v>3.1</v>
      </c>
      <c r="FG62" s="287">
        <v>14.205</v>
      </c>
      <c r="FH62" s="239">
        <v>3.125</v>
      </c>
      <c r="FI62" s="239">
        <v>5.24</v>
      </c>
      <c r="FJ62" s="239">
        <v>5.925</v>
      </c>
      <c r="FK62" s="239">
        <v>3.075</v>
      </c>
      <c r="FL62" s="239">
        <v>5.225</v>
      </c>
      <c r="FM62" s="239">
        <v>4.95</v>
      </c>
      <c r="FN62" s="239">
        <v>3.25</v>
      </c>
      <c r="FO62" s="239"/>
      <c r="FP62" s="239"/>
      <c r="FQ62" s="239">
        <v>1</v>
      </c>
      <c r="FR62" s="239">
        <v>1.2</v>
      </c>
      <c r="FS62" s="239">
        <v>0.75</v>
      </c>
      <c r="FT62" s="239"/>
      <c r="FU62" s="239"/>
      <c r="FV62" s="239">
        <v>0.075</v>
      </c>
      <c r="FW62" s="239">
        <v>0</v>
      </c>
      <c r="FX62" s="239"/>
      <c r="FY62" s="239">
        <v>0</v>
      </c>
      <c r="FZ62" s="239">
        <v>1</v>
      </c>
      <c r="GA62" s="239">
        <v>0.75</v>
      </c>
      <c r="GB62" s="239"/>
      <c r="GC62" s="239">
        <v>0.125</v>
      </c>
      <c r="GD62" s="239">
        <v>29.15</v>
      </c>
      <c r="GE62" s="239">
        <v>0.2</v>
      </c>
      <c r="GF62" s="239">
        <v>0.475</v>
      </c>
      <c r="GG62" s="239">
        <v>0.04</v>
      </c>
      <c r="GH62" s="239">
        <v>0</v>
      </c>
      <c r="GI62" s="239">
        <v>0</v>
      </c>
      <c r="GJ62" s="239"/>
      <c r="GK62" s="239"/>
      <c r="GL62" s="239"/>
      <c r="GM62" s="239"/>
      <c r="GN62" s="239"/>
      <c r="GO62" s="239"/>
      <c r="GP62" s="239"/>
      <c r="GQ62" s="239"/>
      <c r="GR62" s="250">
        <f t="shared" si="29"/>
        <v>0.075</v>
      </c>
      <c r="GS62" s="239">
        <f t="shared" si="30"/>
        <v>0.515</v>
      </c>
    </row>
    <row r="63" spans="1:201" ht="15.75">
      <c r="A63" s="31" t="s">
        <v>29</v>
      </c>
      <c r="B63" s="31" t="s">
        <v>30</v>
      </c>
      <c r="C63" s="142">
        <v>69</v>
      </c>
      <c r="D63" s="142"/>
      <c r="E63" s="142">
        <v>395</v>
      </c>
      <c r="F63" s="142">
        <v>259</v>
      </c>
      <c r="G63" s="142">
        <v>230</v>
      </c>
      <c r="H63" s="142">
        <v>180</v>
      </c>
      <c r="I63" s="142">
        <v>165</v>
      </c>
      <c r="J63" s="143">
        <v>104</v>
      </c>
      <c r="K63" s="142">
        <v>101</v>
      </c>
      <c r="L63" s="137">
        <v>51</v>
      </c>
      <c r="M63" s="136">
        <v>100</v>
      </c>
      <c r="N63" s="137">
        <v>50</v>
      </c>
      <c r="O63" s="153">
        <v>70</v>
      </c>
      <c r="P63" s="70">
        <v>137</v>
      </c>
      <c r="Q63" s="138">
        <v>54</v>
      </c>
      <c r="R63" s="70">
        <v>120</v>
      </c>
      <c r="S63" s="70">
        <v>71</v>
      </c>
      <c r="T63" s="138">
        <v>303</v>
      </c>
      <c r="U63" s="138">
        <v>227</v>
      </c>
      <c r="V63" s="70">
        <v>409</v>
      </c>
      <c r="W63" s="70">
        <v>322</v>
      </c>
      <c r="X63" s="196">
        <v>226</v>
      </c>
      <c r="Y63" s="239">
        <f t="shared" si="31"/>
        <v>85.48</v>
      </c>
      <c r="Z63" s="239">
        <f t="shared" si="32"/>
        <v>53.6</v>
      </c>
      <c r="AA63" s="239">
        <v>49</v>
      </c>
      <c r="AB63" s="239">
        <v>0</v>
      </c>
      <c r="AC63" s="239">
        <v>46.491</v>
      </c>
      <c r="AD63" s="239">
        <v>23.28</v>
      </c>
      <c r="AE63" s="239">
        <v>100</v>
      </c>
      <c r="AF63" s="239">
        <v>24</v>
      </c>
      <c r="AG63" s="239">
        <v>24</v>
      </c>
      <c r="AH63" s="239">
        <v>20</v>
      </c>
      <c r="AI63" s="239">
        <v>20</v>
      </c>
      <c r="AJ63" s="239"/>
      <c r="AK63" s="239">
        <v>20</v>
      </c>
      <c r="AL63" s="239">
        <v>0</v>
      </c>
      <c r="AM63" s="239"/>
      <c r="AN63" s="239">
        <v>83</v>
      </c>
      <c r="AO63" s="239">
        <v>20</v>
      </c>
      <c r="AP63" s="239">
        <v>20</v>
      </c>
      <c r="AQ63" s="239"/>
      <c r="AR63" s="239">
        <v>20</v>
      </c>
      <c r="AS63" s="239">
        <f t="shared" si="24"/>
        <v>227</v>
      </c>
      <c r="AT63" s="239"/>
      <c r="AU63" s="239">
        <v>16</v>
      </c>
      <c r="AV63" s="239">
        <v>28</v>
      </c>
      <c r="AW63" s="239"/>
      <c r="AX63" s="239"/>
      <c r="AY63" s="239"/>
      <c r="AZ63" s="239">
        <v>80</v>
      </c>
      <c r="BA63" s="239">
        <v>13</v>
      </c>
      <c r="BB63" s="239">
        <v>232</v>
      </c>
      <c r="BC63" s="239">
        <v>20</v>
      </c>
      <c r="BD63" s="239"/>
      <c r="BE63" s="239">
        <v>20</v>
      </c>
      <c r="BF63" s="239">
        <f t="shared" si="25"/>
        <v>409</v>
      </c>
      <c r="BG63" s="239">
        <v>20</v>
      </c>
      <c r="BH63" s="239">
        <v>40</v>
      </c>
      <c r="BI63" s="239"/>
      <c r="BJ63" s="239">
        <v>40</v>
      </c>
      <c r="BK63" s="239"/>
      <c r="BL63" s="239">
        <f>72.137-0.137</f>
        <v>72</v>
      </c>
      <c r="BM63" s="239"/>
      <c r="BN63" s="239">
        <v>40</v>
      </c>
      <c r="BO63" s="239">
        <v>50</v>
      </c>
      <c r="BP63" s="239">
        <v>0</v>
      </c>
      <c r="BQ63" s="239">
        <v>0</v>
      </c>
      <c r="BR63" s="239">
        <v>60.3</v>
      </c>
      <c r="BS63" s="239">
        <f t="shared" si="21"/>
        <v>322.3</v>
      </c>
      <c r="BT63" s="239">
        <f t="shared" si="33"/>
        <v>322.3</v>
      </c>
      <c r="BU63" s="239">
        <v>1</v>
      </c>
      <c r="BV63" s="239" t="s">
        <v>14</v>
      </c>
      <c r="BW63" s="239"/>
      <c r="BX63" s="239">
        <v>0</v>
      </c>
      <c r="BY63" s="239"/>
      <c r="BZ63" s="239">
        <v>0</v>
      </c>
      <c r="CA63" s="239">
        <v>60</v>
      </c>
      <c r="CB63" s="239"/>
      <c r="CC63" s="239">
        <v>60</v>
      </c>
      <c r="CD63" s="239">
        <v>50</v>
      </c>
      <c r="CE63" s="239">
        <v>40</v>
      </c>
      <c r="CF63" s="239">
        <v>15</v>
      </c>
      <c r="CG63" s="239">
        <f t="shared" si="26"/>
        <v>226</v>
      </c>
      <c r="CH63" s="239" t="s">
        <v>14</v>
      </c>
      <c r="CI63" s="239"/>
      <c r="CJ63" s="239"/>
      <c r="CK63" s="239">
        <v>0</v>
      </c>
      <c r="CL63" s="239">
        <v>40</v>
      </c>
      <c r="CM63" s="239">
        <v>6.48</v>
      </c>
      <c r="CN63" s="239">
        <v>0</v>
      </c>
      <c r="CO63" s="239"/>
      <c r="CP63" s="239">
        <v>5</v>
      </c>
      <c r="CQ63" s="239">
        <v>0</v>
      </c>
      <c r="CR63" s="239">
        <v>5</v>
      </c>
      <c r="CS63" s="239">
        <v>29</v>
      </c>
      <c r="CT63" s="239">
        <f t="shared" si="34"/>
        <v>85.48</v>
      </c>
      <c r="CU63" s="239">
        <v>30</v>
      </c>
      <c r="CV63" s="239">
        <v>0</v>
      </c>
      <c r="CW63" s="239"/>
      <c r="CX63" s="239">
        <v>12</v>
      </c>
      <c r="CY63" s="239">
        <v>10</v>
      </c>
      <c r="CZ63" s="239">
        <v>0</v>
      </c>
      <c r="DA63" s="239">
        <v>0</v>
      </c>
      <c r="DB63" s="239">
        <v>0</v>
      </c>
      <c r="DC63" s="239">
        <v>0</v>
      </c>
      <c r="DD63" s="239" t="s">
        <v>14</v>
      </c>
      <c r="DE63" s="239">
        <v>1.6</v>
      </c>
      <c r="DF63" s="239">
        <v>0</v>
      </c>
      <c r="DG63" s="239">
        <f t="shared" si="35"/>
        <v>53.6</v>
      </c>
      <c r="DH63" s="239" t="s">
        <v>14</v>
      </c>
      <c r="DI63" s="239">
        <v>40</v>
      </c>
      <c r="DJ63" s="239">
        <v>0</v>
      </c>
      <c r="DK63" s="239">
        <v>0</v>
      </c>
      <c r="DL63" s="239">
        <v>1</v>
      </c>
      <c r="DM63" s="239">
        <v>8</v>
      </c>
      <c r="DN63" s="239"/>
      <c r="DO63" s="239">
        <v>0</v>
      </c>
      <c r="DP63" s="239"/>
      <c r="DQ63" s="239"/>
      <c r="DR63" s="239">
        <v>0</v>
      </c>
      <c r="DS63" s="239">
        <v>0</v>
      </c>
      <c r="DT63" s="239">
        <f t="shared" si="27"/>
        <v>49</v>
      </c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>
        <f t="shared" si="22"/>
        <v>0</v>
      </c>
      <c r="EH63" s="239"/>
      <c r="EI63" s="239"/>
      <c r="EJ63" s="239"/>
      <c r="EK63" s="239"/>
      <c r="EL63" s="239"/>
      <c r="EM63" s="239"/>
      <c r="EN63" s="239"/>
      <c r="EO63" s="239"/>
      <c r="EP63" s="239">
        <v>0.291</v>
      </c>
      <c r="EQ63" s="239">
        <v>22.88</v>
      </c>
      <c r="ER63" s="239">
        <v>23.32</v>
      </c>
      <c r="ES63" s="239"/>
      <c r="ET63" s="239">
        <f t="shared" si="28"/>
        <v>0</v>
      </c>
      <c r="EU63" s="239">
        <f t="shared" si="23"/>
        <v>46.491</v>
      </c>
      <c r="EV63" s="239">
        <v>0.28</v>
      </c>
      <c r="EW63" s="239"/>
      <c r="EX63" s="239"/>
      <c r="EY63" s="239"/>
      <c r="EZ63" s="239"/>
      <c r="FA63" s="239"/>
      <c r="FB63" s="239"/>
      <c r="FC63" s="239"/>
      <c r="FD63" s="239"/>
      <c r="FE63" s="239"/>
      <c r="FF63" s="239">
        <v>23</v>
      </c>
      <c r="FG63" s="287"/>
      <c r="FH63" s="239"/>
      <c r="FI63" s="239"/>
      <c r="FJ63" s="239">
        <v>50</v>
      </c>
      <c r="FK63" s="239"/>
      <c r="FL63" s="239"/>
      <c r="FM63" s="239"/>
      <c r="FN63" s="239">
        <v>50</v>
      </c>
      <c r="FO63" s="239"/>
      <c r="FP63" s="239"/>
      <c r="FQ63" s="239"/>
      <c r="FR63" s="239"/>
      <c r="FS63" s="239"/>
      <c r="FT63" s="239"/>
      <c r="FU63" s="239"/>
      <c r="FV63" s="239">
        <v>24</v>
      </c>
      <c r="FW63" s="239">
        <v>0</v>
      </c>
      <c r="FX63" s="239"/>
      <c r="FY63" s="239">
        <v>0</v>
      </c>
      <c r="FZ63" s="239"/>
      <c r="GA63" s="239"/>
      <c r="GB63" s="239"/>
      <c r="GC63" s="239"/>
      <c r="GD63" s="239"/>
      <c r="GE63" s="239"/>
      <c r="GF63" s="239"/>
      <c r="GG63" s="239">
        <v>0</v>
      </c>
      <c r="GH63" s="239">
        <v>0</v>
      </c>
      <c r="GI63" s="239">
        <v>0</v>
      </c>
      <c r="GJ63" s="239"/>
      <c r="GK63" s="239"/>
      <c r="GL63" s="239"/>
      <c r="GM63" s="239"/>
      <c r="GN63" s="239"/>
      <c r="GO63" s="239"/>
      <c r="GP63" s="239"/>
      <c r="GQ63" s="239"/>
      <c r="GR63" s="239">
        <f t="shared" si="29"/>
        <v>24</v>
      </c>
      <c r="GS63" s="239">
        <f t="shared" si="30"/>
        <v>0</v>
      </c>
    </row>
    <row r="64" spans="1:201" ht="15.75">
      <c r="A64" s="31" t="s">
        <v>91</v>
      </c>
      <c r="B64" s="31" t="s">
        <v>31</v>
      </c>
      <c r="C64" s="34" t="s">
        <v>66</v>
      </c>
      <c r="D64" s="142"/>
      <c r="E64" s="142">
        <v>293</v>
      </c>
      <c r="F64" s="142">
        <v>2</v>
      </c>
      <c r="G64" s="142">
        <v>173</v>
      </c>
      <c r="H64" s="142">
        <v>43</v>
      </c>
      <c r="I64" s="142">
        <v>34</v>
      </c>
      <c r="J64" s="143">
        <v>1376</v>
      </c>
      <c r="K64" s="142">
        <v>1535</v>
      </c>
      <c r="L64" s="137">
        <v>231</v>
      </c>
      <c r="M64" s="136">
        <v>72</v>
      </c>
      <c r="N64" s="137">
        <v>116</v>
      </c>
      <c r="O64" s="153">
        <v>36</v>
      </c>
      <c r="P64" s="70">
        <v>5</v>
      </c>
      <c r="Q64" s="138">
        <v>126</v>
      </c>
      <c r="R64" s="70">
        <v>52</v>
      </c>
      <c r="S64" s="70">
        <v>807</v>
      </c>
      <c r="T64" s="138" t="s">
        <v>14</v>
      </c>
      <c r="U64" s="138">
        <v>10.5</v>
      </c>
      <c r="V64" s="70">
        <v>65.8</v>
      </c>
      <c r="W64" s="70">
        <v>85</v>
      </c>
      <c r="X64" s="196" t="s">
        <v>14</v>
      </c>
      <c r="Y64" s="239">
        <f t="shared" si="31"/>
        <v>89</v>
      </c>
      <c r="Z64" s="239">
        <f t="shared" si="32"/>
        <v>34.609</v>
      </c>
      <c r="AA64" s="239">
        <v>94.69</v>
      </c>
      <c r="AB64" s="239">
        <v>237.36</v>
      </c>
      <c r="AC64" s="239">
        <v>11.352000000000002</v>
      </c>
      <c r="AD64" s="239">
        <v>12.024000000000001</v>
      </c>
      <c r="AE64" s="239">
        <v>72.07999999999998</v>
      </c>
      <c r="AF64" s="239">
        <v>41.893</v>
      </c>
      <c r="AG64" s="239" t="s">
        <v>14</v>
      </c>
      <c r="AH64" s="239"/>
      <c r="AI64" s="239"/>
      <c r="AJ64" s="239"/>
      <c r="AK64" s="239"/>
      <c r="AL64" s="239">
        <v>0</v>
      </c>
      <c r="AM64" s="239"/>
      <c r="AN64" s="239">
        <v>6</v>
      </c>
      <c r="AO64" s="239"/>
      <c r="AP64" s="239">
        <v>0</v>
      </c>
      <c r="AQ64" s="239">
        <v>0.5</v>
      </c>
      <c r="AR64" s="239">
        <v>4</v>
      </c>
      <c r="AS64" s="239">
        <f t="shared" si="24"/>
        <v>10.5</v>
      </c>
      <c r="AT64" s="239"/>
      <c r="AU64" s="239">
        <v>15.8</v>
      </c>
      <c r="AV64" s="239"/>
      <c r="AW64" s="239"/>
      <c r="AX64" s="239"/>
      <c r="AY64" s="239"/>
      <c r="AZ64" s="239"/>
      <c r="BA64" s="239"/>
      <c r="BB64" s="239"/>
      <c r="BC64" s="239">
        <v>10</v>
      </c>
      <c r="BD64" s="239">
        <v>20</v>
      </c>
      <c r="BE64" s="239">
        <v>20</v>
      </c>
      <c r="BF64" s="239">
        <f t="shared" si="25"/>
        <v>65.8</v>
      </c>
      <c r="BG64" s="239">
        <v>22</v>
      </c>
      <c r="BH64" s="239">
        <v>9</v>
      </c>
      <c r="BI64" s="239">
        <v>14.6</v>
      </c>
      <c r="BJ64" s="239">
        <v>13.2</v>
      </c>
      <c r="BK64" s="239">
        <v>12.4</v>
      </c>
      <c r="BL64" s="239">
        <v>0.137</v>
      </c>
      <c r="BM64" s="239"/>
      <c r="BN64" s="239"/>
      <c r="BO64" s="239">
        <v>0.1</v>
      </c>
      <c r="BP64" s="239">
        <v>0</v>
      </c>
      <c r="BQ64" s="239">
        <v>0</v>
      </c>
      <c r="BR64" s="239">
        <v>14</v>
      </c>
      <c r="BS64" s="239">
        <f t="shared" si="21"/>
        <v>85.437</v>
      </c>
      <c r="BT64" s="239">
        <f t="shared" si="33"/>
        <v>85.437</v>
      </c>
      <c r="BU64" s="239" t="s">
        <v>14</v>
      </c>
      <c r="BV64" s="239" t="s">
        <v>14</v>
      </c>
      <c r="BW64" s="239"/>
      <c r="BX64" s="239">
        <v>0</v>
      </c>
      <c r="BY64" s="239"/>
      <c r="BZ64" s="239">
        <v>0</v>
      </c>
      <c r="CA64" s="239"/>
      <c r="CB64" s="239"/>
      <c r="CC64" s="239">
        <v>0</v>
      </c>
      <c r="CD64" s="239">
        <v>0</v>
      </c>
      <c r="CE64" s="239">
        <v>0</v>
      </c>
      <c r="CF64" s="239"/>
      <c r="CG64" s="239" t="s">
        <v>14</v>
      </c>
      <c r="CH64" s="239">
        <v>5</v>
      </c>
      <c r="CI64" s="239">
        <v>9</v>
      </c>
      <c r="CJ64" s="239"/>
      <c r="CK64" s="239">
        <v>0</v>
      </c>
      <c r="CL64" s="239">
        <v>0</v>
      </c>
      <c r="CM64" s="239">
        <v>0</v>
      </c>
      <c r="CN64" s="239">
        <v>0</v>
      </c>
      <c r="CO64" s="239"/>
      <c r="CP64" s="239">
        <v>0</v>
      </c>
      <c r="CQ64" s="239">
        <v>60</v>
      </c>
      <c r="CR64" s="239">
        <v>5</v>
      </c>
      <c r="CS64" s="239">
        <v>10</v>
      </c>
      <c r="CT64" s="239">
        <f t="shared" si="34"/>
        <v>89</v>
      </c>
      <c r="CU64" s="239" t="s">
        <v>14</v>
      </c>
      <c r="CV64" s="239">
        <v>0</v>
      </c>
      <c r="CW64" s="239"/>
      <c r="CX64" s="239">
        <v>8.5</v>
      </c>
      <c r="CY64" s="239">
        <v>0</v>
      </c>
      <c r="CZ64" s="239">
        <v>0</v>
      </c>
      <c r="DA64" s="239">
        <v>0</v>
      </c>
      <c r="DB64" s="239">
        <v>0</v>
      </c>
      <c r="DC64" s="239">
        <v>0</v>
      </c>
      <c r="DD64" s="239" t="s">
        <v>14</v>
      </c>
      <c r="DE64" s="239">
        <v>0.109</v>
      </c>
      <c r="DF64" s="239">
        <v>26</v>
      </c>
      <c r="DG64" s="239">
        <f t="shared" si="35"/>
        <v>34.609</v>
      </c>
      <c r="DH64" s="239">
        <v>18.6</v>
      </c>
      <c r="DI64" s="239">
        <v>4.5</v>
      </c>
      <c r="DJ64" s="239">
        <v>0</v>
      </c>
      <c r="DK64" s="239">
        <v>26.5</v>
      </c>
      <c r="DL64" s="239"/>
      <c r="DM64" s="239"/>
      <c r="DN64" s="239"/>
      <c r="DO64" s="239">
        <v>0</v>
      </c>
      <c r="DP64" s="239"/>
      <c r="DQ64" s="239"/>
      <c r="DR64" s="239">
        <v>45.09</v>
      </c>
      <c r="DS64" s="239">
        <v>0</v>
      </c>
      <c r="DT64" s="239">
        <f t="shared" si="27"/>
        <v>94.69</v>
      </c>
      <c r="DU64" s="239"/>
      <c r="DV64" s="239">
        <v>11.9</v>
      </c>
      <c r="DW64" s="239"/>
      <c r="DX64" s="239">
        <v>28</v>
      </c>
      <c r="DY64" s="239">
        <v>33.5</v>
      </c>
      <c r="DZ64" s="239">
        <v>28</v>
      </c>
      <c r="EA64" s="239">
        <v>28</v>
      </c>
      <c r="EB64" s="239">
        <v>28</v>
      </c>
      <c r="EC64" s="239"/>
      <c r="ED64" s="239"/>
      <c r="EE64" s="239">
        <v>22.96</v>
      </c>
      <c r="EF64" s="239">
        <v>57</v>
      </c>
      <c r="EG64" s="239">
        <f t="shared" si="22"/>
        <v>237.36</v>
      </c>
      <c r="EH64" s="239"/>
      <c r="EI64" s="239"/>
      <c r="EJ64" s="239">
        <v>0.946</v>
      </c>
      <c r="EK64" s="239">
        <v>0.98</v>
      </c>
      <c r="EL64" s="239">
        <v>3.326</v>
      </c>
      <c r="EM64" s="239">
        <v>0.7</v>
      </c>
      <c r="EN64" s="239">
        <v>0.2</v>
      </c>
      <c r="EO64" s="239">
        <v>2</v>
      </c>
      <c r="EP64" s="239">
        <v>0.5</v>
      </c>
      <c r="EQ64" s="239">
        <v>2.4</v>
      </c>
      <c r="ER64" s="239">
        <v>0.3</v>
      </c>
      <c r="ES64" s="239"/>
      <c r="ET64" s="239">
        <f t="shared" si="28"/>
        <v>237.36</v>
      </c>
      <c r="EU64" s="239">
        <f t="shared" si="23"/>
        <v>11.352000000000002</v>
      </c>
      <c r="EV64" s="239"/>
      <c r="EW64" s="239"/>
      <c r="EX64" s="239">
        <v>0.54</v>
      </c>
      <c r="EY64" s="239"/>
      <c r="EZ64" s="239">
        <v>0.6</v>
      </c>
      <c r="FA64" s="239">
        <v>1.8599999999999999</v>
      </c>
      <c r="FB64" s="239">
        <v>2.616</v>
      </c>
      <c r="FC64" s="239"/>
      <c r="FD64" s="239">
        <v>2.688</v>
      </c>
      <c r="FE64" s="239">
        <v>1.272</v>
      </c>
      <c r="FF64" s="239">
        <v>1.224</v>
      </c>
      <c r="FG64" s="287">
        <v>1.224</v>
      </c>
      <c r="FH64" s="239">
        <v>3.59</v>
      </c>
      <c r="FI64" s="239">
        <v>4.52</v>
      </c>
      <c r="FJ64" s="239">
        <v>12.8</v>
      </c>
      <c r="FK64" s="239">
        <v>2.06</v>
      </c>
      <c r="FL64" s="239">
        <v>1.5</v>
      </c>
      <c r="FM64" s="239">
        <v>2.84</v>
      </c>
      <c r="FN64" s="239">
        <v>4.63</v>
      </c>
      <c r="FO64" s="239">
        <v>2.8</v>
      </c>
      <c r="FP64" s="239">
        <v>29.830000000000002</v>
      </c>
      <c r="FQ64" s="239">
        <v>2.96</v>
      </c>
      <c r="FR64" s="239">
        <v>4.55</v>
      </c>
      <c r="FS64" s="239"/>
      <c r="FT64" s="239">
        <v>3.5599999999999996</v>
      </c>
      <c r="FU64" s="239">
        <v>3.3000000000000003</v>
      </c>
      <c r="FV64" s="239">
        <v>4.3</v>
      </c>
      <c r="FW64" s="239">
        <v>1.45</v>
      </c>
      <c r="FX64" s="239">
        <v>1.7080000000000002</v>
      </c>
      <c r="FY64" s="239">
        <v>2.935</v>
      </c>
      <c r="FZ64" s="239">
        <v>2.6599999999999997</v>
      </c>
      <c r="GA64" s="239">
        <v>3.5999999999999996</v>
      </c>
      <c r="GB64" s="239">
        <v>0.42</v>
      </c>
      <c r="GC64" s="239">
        <v>3.4000000000000004</v>
      </c>
      <c r="GD64" s="239">
        <v>3.5</v>
      </c>
      <c r="GE64" s="239">
        <v>11.06</v>
      </c>
      <c r="GF64" s="239">
        <v>2.035</v>
      </c>
      <c r="GG64" s="239">
        <v>17.828</v>
      </c>
      <c r="GH64" s="239">
        <v>3.357</v>
      </c>
      <c r="GI64" s="239">
        <v>29.065</v>
      </c>
      <c r="GJ64" s="239"/>
      <c r="GK64" s="239"/>
      <c r="GL64" s="239"/>
      <c r="GM64" s="239"/>
      <c r="GN64" s="239"/>
      <c r="GO64" s="239"/>
      <c r="GP64" s="239"/>
      <c r="GQ64" s="239"/>
      <c r="GR64" s="239">
        <f t="shared" si="29"/>
        <v>12.61</v>
      </c>
      <c r="GS64" s="239">
        <f t="shared" si="30"/>
        <v>52.285</v>
      </c>
    </row>
    <row r="65" spans="1:201" ht="15.75">
      <c r="A65" s="31" t="s">
        <v>32</v>
      </c>
      <c r="B65" s="31" t="s">
        <v>33</v>
      </c>
      <c r="C65" s="142" t="s">
        <v>14</v>
      </c>
      <c r="D65" s="142"/>
      <c r="E65" s="142">
        <v>29</v>
      </c>
      <c r="F65" s="142">
        <v>240</v>
      </c>
      <c r="G65" s="142">
        <v>9289</v>
      </c>
      <c r="H65" s="142" t="s">
        <v>14</v>
      </c>
      <c r="I65" s="142">
        <v>1</v>
      </c>
      <c r="J65" s="143">
        <v>4</v>
      </c>
      <c r="K65" s="142">
        <v>3261</v>
      </c>
      <c r="L65" s="137">
        <v>300</v>
      </c>
      <c r="M65" s="136">
        <v>932</v>
      </c>
      <c r="N65" s="137">
        <v>1675</v>
      </c>
      <c r="O65" s="153">
        <v>5213</v>
      </c>
      <c r="P65" s="70">
        <v>2910</v>
      </c>
      <c r="Q65" s="138">
        <v>4858</v>
      </c>
      <c r="R65" s="70">
        <v>3163</v>
      </c>
      <c r="S65" s="70">
        <v>8378</v>
      </c>
      <c r="T65" s="138">
        <v>2050</v>
      </c>
      <c r="U65" s="138">
        <v>1000</v>
      </c>
      <c r="V65" s="70">
        <v>2000</v>
      </c>
      <c r="W65" s="70">
        <v>2500</v>
      </c>
      <c r="X65" s="196">
        <v>3000</v>
      </c>
      <c r="Y65" s="239" t="s">
        <v>14</v>
      </c>
      <c r="Z65" s="239" t="s">
        <v>14</v>
      </c>
      <c r="AA65" s="239" t="s">
        <v>14</v>
      </c>
      <c r="AB65" s="239">
        <v>0</v>
      </c>
      <c r="AC65" s="239">
        <v>0</v>
      </c>
      <c r="AD65" s="250">
        <v>0.05</v>
      </c>
      <c r="AE65" s="239">
        <v>0</v>
      </c>
      <c r="AF65" s="239">
        <v>4.6</v>
      </c>
      <c r="AG65" s="239" t="s">
        <v>14</v>
      </c>
      <c r="AH65" s="239">
        <v>1000</v>
      </c>
      <c r="AI65" s="239"/>
      <c r="AJ65" s="239"/>
      <c r="AK65" s="239"/>
      <c r="AL65" s="239">
        <v>0</v>
      </c>
      <c r="AM65" s="239"/>
      <c r="AN65" s="239">
        <v>0</v>
      </c>
      <c r="AO65" s="239"/>
      <c r="AP65" s="239">
        <v>0</v>
      </c>
      <c r="AQ65" s="239"/>
      <c r="AR65" s="239"/>
      <c r="AS65" s="239">
        <f t="shared" si="24"/>
        <v>1000</v>
      </c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>
        <v>1800</v>
      </c>
      <c r="BE65" s="239">
        <v>200</v>
      </c>
      <c r="BF65" s="239">
        <f t="shared" si="25"/>
        <v>2000</v>
      </c>
      <c r="BG65" s="239">
        <v>1500</v>
      </c>
      <c r="BH65" s="239">
        <v>1000</v>
      </c>
      <c r="BI65" s="239"/>
      <c r="BJ65" s="239"/>
      <c r="BK65" s="239"/>
      <c r="BL65" s="239"/>
      <c r="BM65" s="239"/>
      <c r="BN65" s="239"/>
      <c r="BO65" s="239"/>
      <c r="BP65" s="239">
        <v>0.1</v>
      </c>
      <c r="BQ65" s="239">
        <v>0</v>
      </c>
      <c r="BR65" s="239">
        <v>0</v>
      </c>
      <c r="BS65" s="239">
        <f t="shared" si="21"/>
        <v>2500.1</v>
      </c>
      <c r="BT65" s="239">
        <f t="shared" si="33"/>
        <v>2500.1</v>
      </c>
      <c r="BU65" s="239" t="s">
        <v>14</v>
      </c>
      <c r="BV65" s="239" t="s">
        <v>14</v>
      </c>
      <c r="BW65" s="239"/>
      <c r="BX65" s="239">
        <v>2750</v>
      </c>
      <c r="BY65" s="239"/>
      <c r="BZ65" s="239">
        <v>250</v>
      </c>
      <c r="CA65" s="239"/>
      <c r="CB65" s="239"/>
      <c r="CC65" s="239">
        <v>0</v>
      </c>
      <c r="CD65" s="239">
        <v>0</v>
      </c>
      <c r="CE65" s="239">
        <v>0</v>
      </c>
      <c r="CF65" s="239"/>
      <c r="CG65" s="239">
        <f t="shared" si="26"/>
        <v>3000</v>
      </c>
      <c r="CH65" s="239" t="s">
        <v>14</v>
      </c>
      <c r="CI65" s="239"/>
      <c r="CJ65" s="239"/>
      <c r="CK65" s="239">
        <v>0</v>
      </c>
      <c r="CL65" s="239">
        <v>0</v>
      </c>
      <c r="CM65" s="239">
        <v>0</v>
      </c>
      <c r="CN65" s="239">
        <v>0</v>
      </c>
      <c r="CO65" s="239"/>
      <c r="CP65" s="239">
        <v>0</v>
      </c>
      <c r="CQ65" s="239">
        <v>0</v>
      </c>
      <c r="CR65" s="239">
        <v>0</v>
      </c>
      <c r="CS65" s="239">
        <v>0</v>
      </c>
      <c r="CT65" s="239" t="s">
        <v>14</v>
      </c>
      <c r="CU65" s="239" t="s">
        <v>14</v>
      </c>
      <c r="CV65" s="239" t="s">
        <v>14</v>
      </c>
      <c r="CW65" s="239" t="s">
        <v>14</v>
      </c>
      <c r="CX65" s="239" t="s">
        <v>14</v>
      </c>
      <c r="CY65" s="239" t="s">
        <v>14</v>
      </c>
      <c r="CZ65" s="239" t="s">
        <v>14</v>
      </c>
      <c r="DA65" s="239" t="s">
        <v>14</v>
      </c>
      <c r="DB65" s="239" t="s">
        <v>14</v>
      </c>
      <c r="DC65" s="239" t="s">
        <v>14</v>
      </c>
      <c r="DD65" s="239" t="s">
        <v>14</v>
      </c>
      <c r="DE65" s="239" t="s">
        <v>14</v>
      </c>
      <c r="DF65" s="239" t="s">
        <v>14</v>
      </c>
      <c r="DG65" s="239" t="s">
        <v>14</v>
      </c>
      <c r="DH65" s="239" t="s">
        <v>14</v>
      </c>
      <c r="DI65" s="239" t="s">
        <v>14</v>
      </c>
      <c r="DJ65" s="239">
        <v>0</v>
      </c>
      <c r="DK65" s="239">
        <v>0</v>
      </c>
      <c r="DL65" s="239"/>
      <c r="DM65" s="239"/>
      <c r="DN65" s="239"/>
      <c r="DO65" s="239">
        <v>0</v>
      </c>
      <c r="DP65" s="239"/>
      <c r="DQ65" s="239"/>
      <c r="DR65" s="239">
        <v>0</v>
      </c>
      <c r="DS65" s="239">
        <v>0</v>
      </c>
      <c r="DT65" s="239">
        <f t="shared" si="27"/>
        <v>0</v>
      </c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>
        <f t="shared" si="22"/>
        <v>0</v>
      </c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>
        <f t="shared" si="28"/>
        <v>0</v>
      </c>
      <c r="EU65" s="239">
        <f t="shared" si="23"/>
        <v>0</v>
      </c>
      <c r="EV65" s="239"/>
      <c r="EW65" s="239"/>
      <c r="EX65" s="239"/>
      <c r="EY65" s="239"/>
      <c r="EZ65" s="239"/>
      <c r="FA65" s="239"/>
      <c r="FB65" s="239"/>
      <c r="FC65" s="239"/>
      <c r="FD65" s="239"/>
      <c r="FE65" s="239">
        <v>0.05</v>
      </c>
      <c r="FF65" s="239"/>
      <c r="FG65" s="287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>
        <v>0</v>
      </c>
      <c r="FX65" s="239"/>
      <c r="FY65" s="239">
        <v>0</v>
      </c>
      <c r="FZ65" s="239"/>
      <c r="GA65" s="239"/>
      <c r="GB65" s="239"/>
      <c r="GC65" s="239">
        <v>2</v>
      </c>
      <c r="GD65" s="239"/>
      <c r="GE65" s="239">
        <v>2.6</v>
      </c>
      <c r="GF65" s="239"/>
      <c r="GG65" s="239">
        <v>0</v>
      </c>
      <c r="GH65" s="239">
        <v>0</v>
      </c>
      <c r="GI65" s="239">
        <v>0.381</v>
      </c>
      <c r="GJ65" s="239"/>
      <c r="GK65" s="239"/>
      <c r="GL65" s="239"/>
      <c r="GM65" s="239"/>
      <c r="GN65" s="239"/>
      <c r="GO65" s="239"/>
      <c r="GP65" s="239"/>
      <c r="GQ65" s="239"/>
      <c r="GR65" s="239">
        <f t="shared" si="29"/>
        <v>0</v>
      </c>
      <c r="GS65" s="250">
        <f t="shared" si="30"/>
        <v>0.381</v>
      </c>
    </row>
    <row r="66" spans="1:201" ht="15.75">
      <c r="A66" s="31" t="s">
        <v>34</v>
      </c>
      <c r="B66" s="31" t="s">
        <v>35</v>
      </c>
      <c r="C66" s="142">
        <v>1028</v>
      </c>
      <c r="D66" s="142"/>
      <c r="E66" s="142">
        <v>191</v>
      </c>
      <c r="F66" s="142" t="s">
        <v>14</v>
      </c>
      <c r="G66" s="142" t="s">
        <v>14</v>
      </c>
      <c r="H66" s="142" t="s">
        <v>14</v>
      </c>
      <c r="I66" s="142">
        <v>47</v>
      </c>
      <c r="J66" s="143">
        <v>42</v>
      </c>
      <c r="K66" s="142">
        <v>6</v>
      </c>
      <c r="L66" s="137">
        <v>3</v>
      </c>
      <c r="M66" s="136">
        <v>2</v>
      </c>
      <c r="N66" s="137" t="s">
        <v>14</v>
      </c>
      <c r="O66" s="70" t="s">
        <v>14</v>
      </c>
      <c r="P66" s="70" t="s">
        <v>14</v>
      </c>
      <c r="Q66" s="70" t="s">
        <v>14</v>
      </c>
      <c r="R66" s="70" t="s">
        <v>14</v>
      </c>
      <c r="S66" s="70" t="s">
        <v>14</v>
      </c>
      <c r="T66" s="138" t="s">
        <v>14</v>
      </c>
      <c r="U66" s="138" t="s">
        <v>14</v>
      </c>
      <c r="V66" s="70">
        <v>93.06</v>
      </c>
      <c r="W66" s="70">
        <v>14</v>
      </c>
      <c r="X66" s="196">
        <v>17</v>
      </c>
      <c r="Y66" s="239" t="s">
        <v>14</v>
      </c>
      <c r="Z66" s="239" t="s">
        <v>14</v>
      </c>
      <c r="AA66" s="239">
        <v>121.6</v>
      </c>
      <c r="AB66" s="239">
        <v>18.61</v>
      </c>
      <c r="AC66" s="239">
        <v>32.88</v>
      </c>
      <c r="AD66" s="239">
        <v>60.91100000000001</v>
      </c>
      <c r="AE66" s="239">
        <v>163.72500000000002</v>
      </c>
      <c r="AF66" s="239">
        <v>59.335</v>
      </c>
      <c r="AG66" s="239" t="s">
        <v>14</v>
      </c>
      <c r="AH66" s="239"/>
      <c r="AI66" s="239"/>
      <c r="AJ66" s="239"/>
      <c r="AK66" s="239"/>
      <c r="AL66" s="239">
        <v>0</v>
      </c>
      <c r="AM66" s="239"/>
      <c r="AN66" s="239">
        <v>0</v>
      </c>
      <c r="AO66" s="239"/>
      <c r="AP66" s="239">
        <v>0</v>
      </c>
      <c r="AQ66" s="239"/>
      <c r="AR66" s="239"/>
      <c r="AS66" s="239">
        <f t="shared" si="24"/>
        <v>0</v>
      </c>
      <c r="AT66" s="239"/>
      <c r="AU66" s="239"/>
      <c r="AV66" s="239"/>
      <c r="AW66" s="239">
        <v>67.1</v>
      </c>
      <c r="AX66" s="239"/>
      <c r="AY66" s="239"/>
      <c r="AZ66" s="239"/>
      <c r="BA66" s="239"/>
      <c r="BB66" s="239"/>
      <c r="BC66" s="239"/>
      <c r="BD66" s="239"/>
      <c r="BE66" s="239">
        <v>25.96</v>
      </c>
      <c r="BF66" s="239">
        <f t="shared" si="25"/>
        <v>93.06</v>
      </c>
      <c r="BG66" s="239">
        <v>14</v>
      </c>
      <c r="BH66" s="239"/>
      <c r="BI66" s="239"/>
      <c r="BJ66" s="239"/>
      <c r="BK66" s="239"/>
      <c r="BL66" s="239"/>
      <c r="BM66" s="239"/>
      <c r="BN66" s="239"/>
      <c r="BO66" s="239"/>
      <c r="BP66" s="239">
        <v>0</v>
      </c>
      <c r="BQ66" s="239">
        <v>0</v>
      </c>
      <c r="BR66" s="239">
        <v>0</v>
      </c>
      <c r="BS66" s="239">
        <f t="shared" si="21"/>
        <v>14</v>
      </c>
      <c r="BT66" s="239">
        <f t="shared" si="33"/>
        <v>14</v>
      </c>
      <c r="BU66" s="239" t="s">
        <v>14</v>
      </c>
      <c r="BV66" s="239">
        <v>3</v>
      </c>
      <c r="BW66" s="239"/>
      <c r="BX66" s="239"/>
      <c r="BY66" s="239"/>
      <c r="BZ66" s="239" t="s">
        <v>63</v>
      </c>
      <c r="CA66" s="239">
        <v>4</v>
      </c>
      <c r="CB66" s="239"/>
      <c r="CC66" s="239">
        <v>2</v>
      </c>
      <c r="CD66" s="239">
        <v>0</v>
      </c>
      <c r="CE66" s="239">
        <v>8</v>
      </c>
      <c r="CF66" s="239"/>
      <c r="CG66" s="239">
        <f t="shared" si="26"/>
        <v>17</v>
      </c>
      <c r="CH66" s="239" t="s">
        <v>14</v>
      </c>
      <c r="CI66" s="239"/>
      <c r="CJ66" s="239"/>
      <c r="CK66" s="239">
        <v>0</v>
      </c>
      <c r="CL66" s="239">
        <v>0</v>
      </c>
      <c r="CM66" s="239">
        <v>0</v>
      </c>
      <c r="CN66" s="239">
        <v>0</v>
      </c>
      <c r="CO66" s="239"/>
      <c r="CP66" s="239">
        <v>0</v>
      </c>
      <c r="CQ66" s="239">
        <v>0</v>
      </c>
      <c r="CR66" s="239">
        <v>0</v>
      </c>
      <c r="CS66" s="239">
        <v>0</v>
      </c>
      <c r="CT66" s="239" t="s">
        <v>14</v>
      </c>
      <c r="CU66" s="239" t="s">
        <v>14</v>
      </c>
      <c r="CV66" s="239" t="s">
        <v>14</v>
      </c>
      <c r="CW66" s="239" t="s">
        <v>14</v>
      </c>
      <c r="CX66" s="239" t="s">
        <v>14</v>
      </c>
      <c r="CY66" s="239" t="s">
        <v>14</v>
      </c>
      <c r="CZ66" s="239" t="s">
        <v>14</v>
      </c>
      <c r="DA66" s="239" t="s">
        <v>14</v>
      </c>
      <c r="DB66" s="239" t="s">
        <v>14</v>
      </c>
      <c r="DC66" s="239" t="s">
        <v>14</v>
      </c>
      <c r="DD66" s="239" t="s">
        <v>14</v>
      </c>
      <c r="DE66" s="239" t="s">
        <v>14</v>
      </c>
      <c r="DF66" s="239" t="s">
        <v>14</v>
      </c>
      <c r="DG66" s="239" t="s">
        <v>14</v>
      </c>
      <c r="DH66" s="239" t="s">
        <v>14</v>
      </c>
      <c r="DI66" s="239" t="s">
        <v>14</v>
      </c>
      <c r="DJ66" s="239">
        <v>0</v>
      </c>
      <c r="DK66" s="239">
        <v>0</v>
      </c>
      <c r="DL66" s="239"/>
      <c r="DM66" s="239"/>
      <c r="DN66" s="239"/>
      <c r="DO66" s="239">
        <v>0</v>
      </c>
      <c r="DP66" s="239"/>
      <c r="DQ66" s="239"/>
      <c r="DR66" s="239">
        <v>0</v>
      </c>
      <c r="DS66" s="239">
        <v>121.6</v>
      </c>
      <c r="DT66" s="239">
        <f t="shared" si="27"/>
        <v>121.6</v>
      </c>
      <c r="DU66" s="239">
        <v>17.41</v>
      </c>
      <c r="DV66" s="239"/>
      <c r="DW66" s="239"/>
      <c r="DX66" s="239"/>
      <c r="DY66" s="239"/>
      <c r="DZ66" s="239"/>
      <c r="EA66" s="239"/>
      <c r="EB66" s="239">
        <v>0.3</v>
      </c>
      <c r="EC66" s="239">
        <v>0.25</v>
      </c>
      <c r="ED66" s="239"/>
      <c r="EE66" s="239"/>
      <c r="EF66" s="239">
        <v>0.65</v>
      </c>
      <c r="EG66" s="239">
        <f t="shared" si="22"/>
        <v>18.61</v>
      </c>
      <c r="EH66" s="239">
        <v>0.45</v>
      </c>
      <c r="EI66" s="239"/>
      <c r="EJ66" s="239"/>
      <c r="EK66" s="239">
        <v>0.45</v>
      </c>
      <c r="EL66" s="239"/>
      <c r="EM66" s="239">
        <v>0.84</v>
      </c>
      <c r="EN66" s="239">
        <v>0.84</v>
      </c>
      <c r="EO66" s="239"/>
      <c r="EP66" s="239">
        <v>0.3</v>
      </c>
      <c r="EQ66" s="239"/>
      <c r="ER66" s="239"/>
      <c r="ES66" s="239">
        <v>30</v>
      </c>
      <c r="ET66" s="239">
        <f t="shared" si="28"/>
        <v>18.61</v>
      </c>
      <c r="EU66" s="239">
        <f t="shared" si="23"/>
        <v>32.88</v>
      </c>
      <c r="EV66" s="239"/>
      <c r="EW66" s="239"/>
      <c r="EX66" s="239"/>
      <c r="EY66" s="239">
        <v>51.947</v>
      </c>
      <c r="EZ66" s="239"/>
      <c r="FA66" s="239">
        <v>0.072</v>
      </c>
      <c r="FB66" s="239"/>
      <c r="FC66" s="239">
        <v>0.1</v>
      </c>
      <c r="FD66" s="239">
        <v>0.2</v>
      </c>
      <c r="FE66" s="239">
        <v>8.592</v>
      </c>
      <c r="FF66" s="239"/>
      <c r="FG66" s="287"/>
      <c r="FH66" s="239">
        <v>0.36</v>
      </c>
      <c r="FI66" s="239"/>
      <c r="FJ66" s="239"/>
      <c r="FK66" s="239">
        <v>9.25</v>
      </c>
      <c r="FL66" s="239">
        <v>16.534</v>
      </c>
      <c r="FM66" s="239">
        <v>16.35</v>
      </c>
      <c r="FN66" s="239">
        <v>6.75</v>
      </c>
      <c r="FO66" s="239">
        <v>3</v>
      </c>
      <c r="FP66" s="239">
        <v>62.395</v>
      </c>
      <c r="FQ66" s="239">
        <v>25.225</v>
      </c>
      <c r="FR66" s="239">
        <v>10.835</v>
      </c>
      <c r="FS66" s="239">
        <v>13.026</v>
      </c>
      <c r="FT66" s="239">
        <v>47.305</v>
      </c>
      <c r="FU66" s="239"/>
      <c r="FV66" s="239"/>
      <c r="FW66" s="239">
        <v>0.35</v>
      </c>
      <c r="FX66" s="239"/>
      <c r="FY66" s="239">
        <v>2.65</v>
      </c>
      <c r="FZ66" s="239">
        <v>1.906</v>
      </c>
      <c r="GA66" s="239"/>
      <c r="GB66" s="239">
        <v>1.35</v>
      </c>
      <c r="GC66" s="239">
        <v>0.524</v>
      </c>
      <c r="GD66" s="239">
        <v>2.02</v>
      </c>
      <c r="GE66" s="239">
        <v>3.23</v>
      </c>
      <c r="GF66" s="239">
        <v>0.114</v>
      </c>
      <c r="GG66" s="239">
        <v>0</v>
      </c>
      <c r="GH66" s="239">
        <v>0</v>
      </c>
      <c r="GI66" s="239">
        <v>1</v>
      </c>
      <c r="GJ66" s="239"/>
      <c r="GK66" s="239"/>
      <c r="GL66" s="239"/>
      <c r="GM66" s="239"/>
      <c r="GN66" s="239"/>
      <c r="GO66" s="239"/>
      <c r="GP66" s="239"/>
      <c r="GQ66" s="239"/>
      <c r="GR66" s="239">
        <f t="shared" si="29"/>
        <v>47.655</v>
      </c>
      <c r="GS66" s="239">
        <f t="shared" si="30"/>
        <v>1.114</v>
      </c>
    </row>
    <row r="67" spans="1:201" ht="15.75">
      <c r="A67" s="31" t="s">
        <v>36</v>
      </c>
      <c r="B67" s="31" t="s">
        <v>37</v>
      </c>
      <c r="C67" s="142">
        <v>5986</v>
      </c>
      <c r="D67" s="142"/>
      <c r="E67" s="142">
        <v>226</v>
      </c>
      <c r="F67" s="142">
        <v>159</v>
      </c>
      <c r="G67" s="142">
        <v>564</v>
      </c>
      <c r="H67" s="142">
        <v>1226</v>
      </c>
      <c r="I67" s="142">
        <v>1703</v>
      </c>
      <c r="J67" s="143">
        <v>2462</v>
      </c>
      <c r="K67" s="142">
        <v>531</v>
      </c>
      <c r="L67" s="137">
        <v>53</v>
      </c>
      <c r="M67" s="136">
        <v>552</v>
      </c>
      <c r="N67" s="137">
        <v>18</v>
      </c>
      <c r="O67" s="153">
        <v>4</v>
      </c>
      <c r="P67" s="70">
        <v>5555</v>
      </c>
      <c r="Q67" s="138">
        <v>4520</v>
      </c>
      <c r="R67" s="70">
        <v>1898</v>
      </c>
      <c r="S67" s="70">
        <v>3185</v>
      </c>
      <c r="T67" s="138">
        <v>3324</v>
      </c>
      <c r="U67" s="138">
        <v>1176.761</v>
      </c>
      <c r="V67" s="70">
        <v>3206.5389999999998</v>
      </c>
      <c r="W67" s="70">
        <v>4299</v>
      </c>
      <c r="X67" s="196">
        <v>2958.9</v>
      </c>
      <c r="Y67" s="239">
        <f t="shared" si="31"/>
        <v>3698.656</v>
      </c>
      <c r="Z67" s="239">
        <f t="shared" si="32"/>
        <v>6459.079000000001</v>
      </c>
      <c r="AA67" s="239">
        <v>5547.754000000001</v>
      </c>
      <c r="AB67" s="239">
        <v>5790.239</v>
      </c>
      <c r="AC67" s="239">
        <v>12489.979000000001</v>
      </c>
      <c r="AD67" s="239">
        <v>13431.616</v>
      </c>
      <c r="AE67" s="239">
        <v>11671.895</v>
      </c>
      <c r="AF67" s="239">
        <v>16728.364999999998</v>
      </c>
      <c r="AG67" s="239">
        <v>74</v>
      </c>
      <c r="AH67" s="239">
        <v>74</v>
      </c>
      <c r="AI67" s="239">
        <f>3+86</f>
        <v>89</v>
      </c>
      <c r="AJ67" s="239">
        <v>77</v>
      </c>
      <c r="AK67" s="239">
        <v>71</v>
      </c>
      <c r="AL67" s="239">
        <v>103</v>
      </c>
      <c r="AM67" s="239">
        <v>153</v>
      </c>
      <c r="AN67" s="239">
        <v>175</v>
      </c>
      <c r="AO67" s="239">
        <v>97</v>
      </c>
      <c r="AP67" s="239">
        <f>1.7+1.7+80.3</f>
        <v>83.7</v>
      </c>
      <c r="AQ67" s="239">
        <v>82.061</v>
      </c>
      <c r="AR67" s="239">
        <v>98</v>
      </c>
      <c r="AS67" s="239">
        <f t="shared" si="24"/>
        <v>1176.761</v>
      </c>
      <c r="AT67" s="239">
        <v>77.7</v>
      </c>
      <c r="AU67" s="239">
        <v>91.6</v>
      </c>
      <c r="AV67" s="239">
        <v>1013</v>
      </c>
      <c r="AW67" s="239">
        <v>104.9</v>
      </c>
      <c r="AX67" s="239">
        <v>102.9</v>
      </c>
      <c r="AY67" s="239">
        <v>82.95</v>
      </c>
      <c r="AZ67" s="239">
        <v>164.4</v>
      </c>
      <c r="BA67" s="239">
        <v>94.82</v>
      </c>
      <c r="BB67" s="239">
        <v>111</v>
      </c>
      <c r="BC67" s="239">
        <v>1113.48</v>
      </c>
      <c r="BD67" s="239">
        <v>118</v>
      </c>
      <c r="BE67" s="239">
        <v>131.789</v>
      </c>
      <c r="BF67" s="239">
        <f t="shared" si="25"/>
        <v>3206.5389999999998</v>
      </c>
      <c r="BG67" s="239">
        <v>146</v>
      </c>
      <c r="BH67" s="239">
        <f>496.16+83.947</f>
        <v>580.107</v>
      </c>
      <c r="BI67" s="239">
        <v>146.756</v>
      </c>
      <c r="BJ67" s="239">
        <v>123.08</v>
      </c>
      <c r="BK67" s="239">
        <v>166.937</v>
      </c>
      <c r="BL67" s="239">
        <v>1097.5</v>
      </c>
      <c r="BM67" s="239">
        <f>20.353+1.917+1133.748</f>
        <v>1156.018</v>
      </c>
      <c r="BN67" s="239">
        <v>184.2</v>
      </c>
      <c r="BO67" s="239">
        <v>157.4</v>
      </c>
      <c r="BP67" s="239">
        <v>167.55</v>
      </c>
      <c r="BQ67" s="239">
        <v>131.4</v>
      </c>
      <c r="BR67" s="239">
        <f>20.2+5.3+198.9+17.6</f>
        <v>242</v>
      </c>
      <c r="BS67" s="239">
        <f t="shared" si="21"/>
        <v>4298.948</v>
      </c>
      <c r="BT67" s="239">
        <f t="shared" si="33"/>
        <v>4298.948</v>
      </c>
      <c r="BU67" s="239">
        <v>193</v>
      </c>
      <c r="BV67" s="239">
        <f>1104-3</f>
        <v>1101</v>
      </c>
      <c r="BW67" s="239">
        <f>7+9+3+9+1+2+13+41+15+16+0.4+0.3+0.3+0.3+0.4+0.4+0.4+0.4</f>
        <v>118.90000000000002</v>
      </c>
      <c r="BX67" s="239">
        <v>364</v>
      </c>
      <c r="BY67" s="239">
        <v>218</v>
      </c>
      <c r="BZ67" s="239">
        <v>168</v>
      </c>
      <c r="CA67" s="239">
        <v>152</v>
      </c>
      <c r="CB67" s="239">
        <v>161</v>
      </c>
      <c r="CC67" s="239">
        <v>190</v>
      </c>
      <c r="CD67" s="239">
        <v>61</v>
      </c>
      <c r="CE67" s="239">
        <v>79</v>
      </c>
      <c r="CF67" s="239">
        <v>153</v>
      </c>
      <c r="CG67" s="239">
        <f t="shared" si="26"/>
        <v>2958.9</v>
      </c>
      <c r="CH67" s="239">
        <v>113</v>
      </c>
      <c r="CI67" s="239">
        <v>162</v>
      </c>
      <c r="CJ67" s="239">
        <v>177</v>
      </c>
      <c r="CK67" s="239">
        <v>166</v>
      </c>
      <c r="CL67" s="239">
        <v>178</v>
      </c>
      <c r="CM67" s="239">
        <v>256.1</v>
      </c>
      <c r="CN67" s="239">
        <v>275</v>
      </c>
      <c r="CO67" s="239">
        <v>918</v>
      </c>
      <c r="CP67" s="239">
        <v>347.39300000000003</v>
      </c>
      <c r="CQ67" s="239">
        <v>355.163</v>
      </c>
      <c r="CR67" s="239">
        <v>403</v>
      </c>
      <c r="CS67" s="239">
        <v>348</v>
      </c>
      <c r="CT67" s="239">
        <f t="shared" si="34"/>
        <v>3698.656</v>
      </c>
      <c r="CU67" s="239">
        <v>357</v>
      </c>
      <c r="CV67" s="239">
        <v>347.56</v>
      </c>
      <c r="CW67" s="239">
        <v>226.2</v>
      </c>
      <c r="CX67" s="239">
        <v>2408.6</v>
      </c>
      <c r="CY67" s="239">
        <v>400.5</v>
      </c>
      <c r="CZ67" s="239">
        <v>220.3</v>
      </c>
      <c r="DA67" s="239">
        <v>380.2</v>
      </c>
      <c r="DB67" s="239">
        <v>421.74</v>
      </c>
      <c r="DC67" s="239">
        <v>511.48</v>
      </c>
      <c r="DD67" s="239">
        <v>401.707</v>
      </c>
      <c r="DE67" s="239">
        <v>342.79200000000003</v>
      </c>
      <c r="DF67" s="239">
        <v>441</v>
      </c>
      <c r="DG67" s="239">
        <f t="shared" si="35"/>
        <v>6459.079000000001</v>
      </c>
      <c r="DH67" s="239">
        <v>400.571</v>
      </c>
      <c r="DI67" s="239">
        <v>296.186</v>
      </c>
      <c r="DJ67" s="239">
        <v>226.198</v>
      </c>
      <c r="DK67" s="239">
        <v>320.7</v>
      </c>
      <c r="DL67" s="239">
        <v>552.158</v>
      </c>
      <c r="DM67" s="239">
        <v>320</v>
      </c>
      <c r="DN67" s="239">
        <v>523</v>
      </c>
      <c r="DO67" s="239">
        <v>569.319</v>
      </c>
      <c r="DP67" s="239">
        <v>421</v>
      </c>
      <c r="DQ67" s="239">
        <v>601.365</v>
      </c>
      <c r="DR67" s="239">
        <v>552.457</v>
      </c>
      <c r="DS67" s="239">
        <v>764.8</v>
      </c>
      <c r="DT67" s="239">
        <f t="shared" si="27"/>
        <v>5547.754000000001</v>
      </c>
      <c r="DU67" s="239">
        <v>352.74</v>
      </c>
      <c r="DV67" s="239">
        <v>244.186</v>
      </c>
      <c r="DW67" s="239">
        <v>210.947</v>
      </c>
      <c r="DX67" s="239">
        <v>376.328</v>
      </c>
      <c r="DY67" s="239">
        <v>234.382</v>
      </c>
      <c r="DZ67" s="239">
        <v>460.919</v>
      </c>
      <c r="EA67" s="239">
        <v>557.752</v>
      </c>
      <c r="EB67" s="239">
        <v>510.025</v>
      </c>
      <c r="EC67" s="239">
        <v>631.585</v>
      </c>
      <c r="ED67" s="239">
        <v>753.578</v>
      </c>
      <c r="EE67" s="239">
        <v>686.284</v>
      </c>
      <c r="EF67" s="239">
        <v>771.513</v>
      </c>
      <c r="EG67" s="239">
        <f t="shared" si="22"/>
        <v>5790.239</v>
      </c>
      <c r="EH67" s="239">
        <v>764.584</v>
      </c>
      <c r="EI67" s="239">
        <v>743.582</v>
      </c>
      <c r="EJ67" s="239">
        <v>715.518</v>
      </c>
      <c r="EK67" s="239">
        <v>889.177</v>
      </c>
      <c r="EL67" s="239">
        <v>931.306</v>
      </c>
      <c r="EM67" s="239">
        <v>881.274</v>
      </c>
      <c r="EN67" s="239">
        <v>1162.098</v>
      </c>
      <c r="EO67" s="239">
        <v>1182.633</v>
      </c>
      <c r="EP67" s="239">
        <v>1164.617</v>
      </c>
      <c r="EQ67" s="239">
        <v>1502.829</v>
      </c>
      <c r="ER67" s="239">
        <v>1153.376</v>
      </c>
      <c r="ES67" s="239">
        <v>1398.985</v>
      </c>
      <c r="ET67" s="239">
        <f t="shared" si="28"/>
        <v>5790.239</v>
      </c>
      <c r="EU67" s="239">
        <f t="shared" si="23"/>
        <v>12489.979000000001</v>
      </c>
      <c r="EV67" s="239">
        <v>1101.859</v>
      </c>
      <c r="EW67" s="239">
        <v>1074.276</v>
      </c>
      <c r="EX67" s="239">
        <v>1107.339</v>
      </c>
      <c r="EY67" s="239">
        <v>899.212</v>
      </c>
      <c r="EZ67" s="239">
        <v>1013.957</v>
      </c>
      <c r="FA67" s="239">
        <v>594.79</v>
      </c>
      <c r="FB67" s="239">
        <v>844.064</v>
      </c>
      <c r="FC67" s="239">
        <v>1055.843</v>
      </c>
      <c r="FD67" s="239">
        <v>1099.654</v>
      </c>
      <c r="FE67" s="239">
        <v>1725.541</v>
      </c>
      <c r="FF67" s="239">
        <v>1041.636</v>
      </c>
      <c r="FG67" s="287">
        <v>1873.445</v>
      </c>
      <c r="FH67" s="239">
        <v>1041.371</v>
      </c>
      <c r="FI67" s="239">
        <v>1215.579</v>
      </c>
      <c r="FJ67" s="239">
        <v>1426.098</v>
      </c>
      <c r="FK67" s="239">
        <v>1258.098</v>
      </c>
      <c r="FL67" s="239">
        <v>808.832</v>
      </c>
      <c r="FM67" s="239">
        <v>797.007</v>
      </c>
      <c r="FN67" s="239">
        <v>564.817</v>
      </c>
      <c r="FO67" s="239">
        <v>888.565</v>
      </c>
      <c r="FP67" s="239">
        <v>930.198</v>
      </c>
      <c r="FQ67" s="239">
        <v>822.94</v>
      </c>
      <c r="FR67" s="239">
        <v>694.184</v>
      </c>
      <c r="FS67" s="239">
        <v>1224.206</v>
      </c>
      <c r="FT67" s="239">
        <v>1257.977</v>
      </c>
      <c r="FU67" s="239">
        <v>947.417</v>
      </c>
      <c r="FV67" s="239">
        <v>1190.055</v>
      </c>
      <c r="FW67" s="239">
        <v>1425.41</v>
      </c>
      <c r="FX67" s="239">
        <v>4701.676</v>
      </c>
      <c r="FY67" s="239">
        <v>1199.498</v>
      </c>
      <c r="FZ67" s="239">
        <v>1102.295</v>
      </c>
      <c r="GA67" s="239">
        <v>1673.6</v>
      </c>
      <c r="GB67" s="239">
        <v>1575.247</v>
      </c>
      <c r="GC67" s="239">
        <v>312.975</v>
      </c>
      <c r="GD67" s="239">
        <v>410.697</v>
      </c>
      <c r="GE67" s="239">
        <v>931.518</v>
      </c>
      <c r="GF67" s="239">
        <v>416.477</v>
      </c>
      <c r="GG67" s="239">
        <v>391.681</v>
      </c>
      <c r="GH67" s="239">
        <v>587.76</v>
      </c>
      <c r="GI67" s="239">
        <v>641.052</v>
      </c>
      <c r="GJ67" s="239"/>
      <c r="GK67" s="239"/>
      <c r="GL67" s="239"/>
      <c r="GM67" s="239"/>
      <c r="GN67" s="239"/>
      <c r="GO67" s="239"/>
      <c r="GP67" s="239"/>
      <c r="GQ67" s="239"/>
      <c r="GR67" s="239">
        <f t="shared" si="29"/>
        <v>4820.859</v>
      </c>
      <c r="GS67" s="239">
        <f t="shared" si="30"/>
        <v>2036.9699999999998</v>
      </c>
    </row>
    <row r="68" spans="1:201" ht="15.75">
      <c r="A68" s="31" t="s">
        <v>38</v>
      </c>
      <c r="B68" s="31" t="s">
        <v>39</v>
      </c>
      <c r="C68" s="142">
        <v>924</v>
      </c>
      <c r="D68" s="142"/>
      <c r="E68" s="142">
        <v>724</v>
      </c>
      <c r="F68" s="142">
        <v>1060</v>
      </c>
      <c r="G68" s="142">
        <v>1123</v>
      </c>
      <c r="H68" s="142">
        <v>1022</v>
      </c>
      <c r="I68" s="142">
        <v>383</v>
      </c>
      <c r="J68" s="143">
        <v>44</v>
      </c>
      <c r="K68" s="142">
        <v>178</v>
      </c>
      <c r="L68" s="137">
        <v>8</v>
      </c>
      <c r="M68" s="136">
        <v>119</v>
      </c>
      <c r="N68" s="137">
        <v>1</v>
      </c>
      <c r="O68" s="70" t="s">
        <v>14</v>
      </c>
      <c r="P68" s="70">
        <v>400</v>
      </c>
      <c r="Q68" s="70" t="s">
        <v>14</v>
      </c>
      <c r="R68" s="70">
        <v>337</v>
      </c>
      <c r="S68" s="70">
        <v>384</v>
      </c>
      <c r="T68" s="138">
        <v>440</v>
      </c>
      <c r="U68" s="138">
        <v>522.1</v>
      </c>
      <c r="V68" s="70" t="s">
        <v>14</v>
      </c>
      <c r="W68" s="70" t="s">
        <v>14</v>
      </c>
      <c r="X68" s="196" t="s">
        <v>14</v>
      </c>
      <c r="Y68" s="239" t="s">
        <v>14</v>
      </c>
      <c r="Z68" s="239" t="s">
        <v>14</v>
      </c>
      <c r="AA68" s="239" t="s">
        <v>14</v>
      </c>
      <c r="AB68" s="239">
        <v>0</v>
      </c>
      <c r="AC68" s="239">
        <v>52.154</v>
      </c>
      <c r="AD68" s="239">
        <v>0</v>
      </c>
      <c r="AE68" s="239">
        <v>35.521</v>
      </c>
      <c r="AF68" s="239">
        <v>0</v>
      </c>
      <c r="AG68" s="239" t="s">
        <v>14</v>
      </c>
      <c r="AH68" s="239"/>
      <c r="AI68" s="239"/>
      <c r="AJ68" s="239"/>
      <c r="AK68" s="239"/>
      <c r="AL68" s="239">
        <v>0</v>
      </c>
      <c r="AM68" s="239"/>
      <c r="AN68" s="239">
        <v>0</v>
      </c>
      <c r="AO68" s="239"/>
      <c r="AP68" s="239">
        <v>0</v>
      </c>
      <c r="AQ68" s="239"/>
      <c r="AR68" s="239">
        <v>522.1</v>
      </c>
      <c r="AS68" s="239">
        <f t="shared" si="24"/>
        <v>522.1</v>
      </c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>
        <f t="shared" si="25"/>
        <v>0</v>
      </c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>
        <v>0</v>
      </c>
      <c r="BR68" s="239">
        <v>0</v>
      </c>
      <c r="BS68" s="239">
        <f t="shared" si="21"/>
        <v>0</v>
      </c>
      <c r="BT68" s="239" t="s">
        <v>14</v>
      </c>
      <c r="BU68" s="239" t="s">
        <v>14</v>
      </c>
      <c r="BV68" s="239" t="s">
        <v>14</v>
      </c>
      <c r="BW68" s="239"/>
      <c r="BX68" s="239">
        <v>0</v>
      </c>
      <c r="BY68" s="239"/>
      <c r="BZ68" s="239">
        <v>0</v>
      </c>
      <c r="CA68" s="239"/>
      <c r="CB68" s="239"/>
      <c r="CC68" s="239">
        <v>0</v>
      </c>
      <c r="CD68" s="239">
        <v>0</v>
      </c>
      <c r="CE68" s="239">
        <v>0</v>
      </c>
      <c r="CF68" s="239"/>
      <c r="CG68" s="239" t="s">
        <v>14</v>
      </c>
      <c r="CH68" s="239" t="s">
        <v>14</v>
      </c>
      <c r="CI68" s="239" t="s">
        <v>14</v>
      </c>
      <c r="CJ68" s="239" t="s">
        <v>14</v>
      </c>
      <c r="CK68" s="239">
        <v>0</v>
      </c>
      <c r="CL68" s="239">
        <v>0</v>
      </c>
      <c r="CM68" s="239">
        <v>0</v>
      </c>
      <c r="CN68" s="239">
        <v>0</v>
      </c>
      <c r="CO68" s="239"/>
      <c r="CP68" s="239">
        <v>0</v>
      </c>
      <c r="CQ68" s="239">
        <v>0</v>
      </c>
      <c r="CR68" s="239"/>
      <c r="CS68" s="239"/>
      <c r="CT68" s="239" t="s">
        <v>14</v>
      </c>
      <c r="CU68" s="239" t="s">
        <v>14</v>
      </c>
      <c r="CV68" s="239" t="s">
        <v>14</v>
      </c>
      <c r="CW68" s="239" t="s">
        <v>14</v>
      </c>
      <c r="CX68" s="239" t="s">
        <v>14</v>
      </c>
      <c r="CY68" s="239" t="s">
        <v>14</v>
      </c>
      <c r="CZ68" s="239" t="s">
        <v>14</v>
      </c>
      <c r="DA68" s="239" t="s">
        <v>14</v>
      </c>
      <c r="DB68" s="239" t="s">
        <v>14</v>
      </c>
      <c r="DC68" s="239" t="s">
        <v>14</v>
      </c>
      <c r="DD68" s="239" t="s">
        <v>14</v>
      </c>
      <c r="DE68" s="239" t="s">
        <v>14</v>
      </c>
      <c r="DF68" s="239" t="s">
        <v>14</v>
      </c>
      <c r="DG68" s="239" t="s">
        <v>14</v>
      </c>
      <c r="DH68" s="239" t="s">
        <v>14</v>
      </c>
      <c r="DI68" s="239" t="s">
        <v>14</v>
      </c>
      <c r="DJ68" s="239">
        <v>0</v>
      </c>
      <c r="DK68" s="239">
        <v>0</v>
      </c>
      <c r="DL68" s="239"/>
      <c r="DM68" s="239"/>
      <c r="DN68" s="239"/>
      <c r="DO68" s="239"/>
      <c r="DP68" s="239"/>
      <c r="DQ68" s="239"/>
      <c r="DR68" s="239">
        <v>0</v>
      </c>
      <c r="DS68" s="239">
        <v>0</v>
      </c>
      <c r="DT68" s="239">
        <f t="shared" si="27"/>
        <v>0</v>
      </c>
      <c r="DU68" s="239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>
        <f t="shared" si="22"/>
        <v>0</v>
      </c>
      <c r="EH68" s="239"/>
      <c r="EI68" s="239"/>
      <c r="EJ68" s="239"/>
      <c r="EK68" s="239"/>
      <c r="EL68" s="239"/>
      <c r="EM68" s="239"/>
      <c r="EN68" s="239"/>
      <c r="EO68" s="239"/>
      <c r="EP68" s="239">
        <v>52.154</v>
      </c>
      <c r="EQ68" s="239"/>
      <c r="ER68" s="239"/>
      <c r="ES68" s="239"/>
      <c r="ET68" s="239">
        <f t="shared" si="28"/>
        <v>0</v>
      </c>
      <c r="EU68" s="239">
        <f t="shared" si="23"/>
        <v>52.154</v>
      </c>
      <c r="EV68" s="239"/>
      <c r="EW68" s="239"/>
      <c r="EX68" s="239"/>
      <c r="EY68" s="239"/>
      <c r="EZ68" s="239"/>
      <c r="FA68" s="239"/>
      <c r="FB68" s="239"/>
      <c r="FC68" s="239"/>
      <c r="FD68" s="239"/>
      <c r="FE68" s="239"/>
      <c r="FF68" s="239"/>
      <c r="FG68" s="287"/>
      <c r="FH68" s="239"/>
      <c r="FI68" s="239"/>
      <c r="FJ68" s="239"/>
      <c r="FK68" s="239">
        <v>20</v>
      </c>
      <c r="FL68" s="239">
        <v>4</v>
      </c>
      <c r="FM68" s="239">
        <v>11.521</v>
      </c>
      <c r="FN68" s="239"/>
      <c r="FO68" s="239"/>
      <c r="FP68" s="239"/>
      <c r="FQ68" s="239"/>
      <c r="FR68" s="239"/>
      <c r="FS68" s="239"/>
      <c r="FT68" s="239"/>
      <c r="FU68" s="239"/>
      <c r="FV68" s="239"/>
      <c r="FW68" s="239">
        <v>0</v>
      </c>
      <c r="FX68" s="239"/>
      <c r="FY68" s="239">
        <v>0</v>
      </c>
      <c r="FZ68" s="239"/>
      <c r="GA68" s="239"/>
      <c r="GB68" s="239"/>
      <c r="GC68" s="239"/>
      <c r="GD68" s="239"/>
      <c r="GE68" s="239"/>
      <c r="GF68" s="239"/>
      <c r="GG68" s="239">
        <v>0</v>
      </c>
      <c r="GH68" s="239">
        <v>0</v>
      </c>
      <c r="GI68" s="239">
        <v>0</v>
      </c>
      <c r="GJ68" s="239"/>
      <c r="GK68" s="239"/>
      <c r="GL68" s="239"/>
      <c r="GM68" s="239"/>
      <c r="GN68" s="239"/>
      <c r="GO68" s="239"/>
      <c r="GP68" s="239"/>
      <c r="GQ68" s="239"/>
      <c r="GR68" s="239">
        <f t="shared" si="29"/>
        <v>0</v>
      </c>
      <c r="GS68" s="239">
        <f t="shared" si="30"/>
        <v>0</v>
      </c>
    </row>
    <row r="69" spans="1:201" s="84" customFormat="1" ht="12" customHeight="1">
      <c r="A69" s="74" t="s">
        <v>40</v>
      </c>
      <c r="B69" s="74" t="s">
        <v>41</v>
      </c>
      <c r="C69" s="146" t="s">
        <v>14</v>
      </c>
      <c r="D69" s="146"/>
      <c r="E69" s="146" t="s">
        <v>68</v>
      </c>
      <c r="F69" s="146">
        <v>11</v>
      </c>
      <c r="G69" s="146">
        <v>96</v>
      </c>
      <c r="H69" s="146">
        <v>245</v>
      </c>
      <c r="I69" s="146">
        <v>184</v>
      </c>
      <c r="J69" s="147" t="s">
        <v>14</v>
      </c>
      <c r="K69" s="146" t="s">
        <v>14</v>
      </c>
      <c r="L69" s="148" t="s">
        <v>14</v>
      </c>
      <c r="M69" s="149" t="s">
        <v>14</v>
      </c>
      <c r="N69" s="148">
        <v>10</v>
      </c>
      <c r="O69" s="154">
        <v>14</v>
      </c>
      <c r="P69" s="145">
        <v>117</v>
      </c>
      <c r="Q69" s="152">
        <v>96</v>
      </c>
      <c r="R69" s="145">
        <v>159</v>
      </c>
      <c r="S69" s="145">
        <v>161</v>
      </c>
      <c r="T69" s="152">
        <v>224</v>
      </c>
      <c r="U69" s="152">
        <v>184.8</v>
      </c>
      <c r="V69" s="145">
        <v>186</v>
      </c>
      <c r="W69" s="145">
        <v>294</v>
      </c>
      <c r="X69" s="196">
        <v>267</v>
      </c>
      <c r="Y69" s="239">
        <f t="shared" si="31"/>
        <v>238.4</v>
      </c>
      <c r="Z69" s="239">
        <f t="shared" si="32"/>
        <v>225.38000000000002</v>
      </c>
      <c r="AA69" s="239">
        <v>468.33900000000006</v>
      </c>
      <c r="AB69" s="239">
        <v>546.0909999999999</v>
      </c>
      <c r="AC69" s="239">
        <v>557.2189999999999</v>
      </c>
      <c r="AD69" s="239">
        <v>891.9849999999999</v>
      </c>
      <c r="AE69" s="239">
        <v>817.605</v>
      </c>
      <c r="AF69" s="239">
        <v>1259.1619999999998</v>
      </c>
      <c r="AG69" s="239">
        <v>13</v>
      </c>
      <c r="AH69" s="239">
        <v>12</v>
      </c>
      <c r="AI69" s="239">
        <v>13</v>
      </c>
      <c r="AJ69" s="239">
        <v>7</v>
      </c>
      <c r="AK69" s="239">
        <v>20</v>
      </c>
      <c r="AL69" s="239">
        <v>12</v>
      </c>
      <c r="AM69" s="239">
        <v>31</v>
      </c>
      <c r="AN69" s="239">
        <v>16</v>
      </c>
      <c r="AO69" s="239">
        <v>14</v>
      </c>
      <c r="AP69" s="239">
        <v>15.6</v>
      </c>
      <c r="AQ69" s="239">
        <v>15.6</v>
      </c>
      <c r="AR69" s="239">
        <v>15.6</v>
      </c>
      <c r="AS69" s="239">
        <f t="shared" si="24"/>
        <v>184.79999999999998</v>
      </c>
      <c r="AT69" s="239">
        <v>7.8</v>
      </c>
      <c r="AU69" s="239">
        <v>15.6</v>
      </c>
      <c r="AV69" s="239">
        <v>16</v>
      </c>
      <c r="AW69" s="239">
        <v>15.6</v>
      </c>
      <c r="AX69" s="239">
        <v>23.4</v>
      </c>
      <c r="AY69" s="239">
        <v>24</v>
      </c>
      <c r="AZ69" s="239">
        <v>10.4</v>
      </c>
      <c r="BA69" s="239">
        <v>18.2</v>
      </c>
      <c r="BB69" s="239">
        <v>16</v>
      </c>
      <c r="BC69" s="239">
        <v>15.6</v>
      </c>
      <c r="BD69" s="239">
        <v>15.6</v>
      </c>
      <c r="BE69" s="239">
        <v>7.8</v>
      </c>
      <c r="BF69" s="239">
        <f t="shared" si="25"/>
        <v>186</v>
      </c>
      <c r="BG69" s="239">
        <v>16</v>
      </c>
      <c r="BH69" s="239">
        <v>23.4</v>
      </c>
      <c r="BI69" s="239">
        <v>26</v>
      </c>
      <c r="BJ69" s="239">
        <v>26</v>
      </c>
      <c r="BK69" s="239">
        <v>28.6</v>
      </c>
      <c r="BL69" s="239">
        <v>31.2</v>
      </c>
      <c r="BM69" s="239">
        <v>23.4</v>
      </c>
      <c r="BN69" s="239">
        <v>20.8</v>
      </c>
      <c r="BO69" s="239">
        <v>33.8</v>
      </c>
      <c r="BP69" s="239">
        <v>20.8</v>
      </c>
      <c r="BQ69" s="239">
        <v>10.4</v>
      </c>
      <c r="BR69" s="239">
        <v>33.8</v>
      </c>
      <c r="BS69" s="239">
        <f t="shared" si="21"/>
        <v>294.2</v>
      </c>
      <c r="BT69" s="239">
        <f t="shared" si="33"/>
        <v>294.2</v>
      </c>
      <c r="BU69" s="239">
        <v>10</v>
      </c>
      <c r="BV69" s="239">
        <v>21</v>
      </c>
      <c r="BW69" s="239">
        <v>21</v>
      </c>
      <c r="BX69" s="239">
        <v>23</v>
      </c>
      <c r="BY69" s="239">
        <v>21</v>
      </c>
      <c r="BZ69" s="239">
        <v>31</v>
      </c>
      <c r="CA69" s="239">
        <v>21</v>
      </c>
      <c r="CB69" s="239">
        <v>23</v>
      </c>
      <c r="CC69" s="239">
        <v>31</v>
      </c>
      <c r="CD69" s="239">
        <v>21</v>
      </c>
      <c r="CE69" s="239">
        <v>23</v>
      </c>
      <c r="CF69" s="239">
        <v>21</v>
      </c>
      <c r="CG69" s="239">
        <f t="shared" si="26"/>
        <v>267</v>
      </c>
      <c r="CH69" s="239">
        <v>10</v>
      </c>
      <c r="CI69" s="239">
        <v>31</v>
      </c>
      <c r="CJ69" s="239">
        <v>13</v>
      </c>
      <c r="CK69" s="239">
        <v>21</v>
      </c>
      <c r="CL69" s="239">
        <v>20.8</v>
      </c>
      <c r="CM69" s="239">
        <v>23.4</v>
      </c>
      <c r="CN69" s="239">
        <v>21</v>
      </c>
      <c r="CO69" s="239">
        <v>10</v>
      </c>
      <c r="CP69" s="239">
        <v>23.4</v>
      </c>
      <c r="CQ69" s="239">
        <v>20.8</v>
      </c>
      <c r="CR69" s="239">
        <v>21</v>
      </c>
      <c r="CS69" s="239">
        <v>23</v>
      </c>
      <c r="CT69" s="239">
        <f t="shared" si="34"/>
        <v>238.4</v>
      </c>
      <c r="CU69" s="239">
        <v>23</v>
      </c>
      <c r="CV69" s="239">
        <v>22</v>
      </c>
      <c r="CW69" s="239">
        <v>23.4</v>
      </c>
      <c r="CX69" s="239">
        <v>20.8</v>
      </c>
      <c r="CY69" s="239">
        <v>20.8</v>
      </c>
      <c r="CZ69" s="239">
        <v>20.8</v>
      </c>
      <c r="DA69" s="239">
        <v>23.4</v>
      </c>
      <c r="DB69" s="239">
        <v>21.45</v>
      </c>
      <c r="DC69" s="239">
        <v>28.93</v>
      </c>
      <c r="DD69" s="239">
        <v>10.4</v>
      </c>
      <c r="DE69" s="239">
        <v>10.4</v>
      </c>
      <c r="DF69" s="239">
        <v>0</v>
      </c>
      <c r="DG69" s="239">
        <f t="shared" si="35"/>
        <v>225.38000000000002</v>
      </c>
      <c r="DH69" s="239">
        <v>56.739</v>
      </c>
      <c r="DI69" s="239">
        <v>33.8</v>
      </c>
      <c r="DJ69" s="239">
        <v>23.4</v>
      </c>
      <c r="DK69" s="239">
        <v>13</v>
      </c>
      <c r="DL69" s="239">
        <v>41.6</v>
      </c>
      <c r="DM69" s="239">
        <v>46.8</v>
      </c>
      <c r="DN69" s="239">
        <v>47.8</v>
      </c>
      <c r="DO69" s="239">
        <v>46.8</v>
      </c>
      <c r="DP69" s="239">
        <v>40.1</v>
      </c>
      <c r="DQ69" s="239">
        <v>59.8</v>
      </c>
      <c r="DR69" s="239">
        <v>37.7</v>
      </c>
      <c r="DS69" s="239">
        <v>20.8</v>
      </c>
      <c r="DT69" s="239">
        <f t="shared" si="27"/>
        <v>468.33900000000006</v>
      </c>
      <c r="DU69" s="239">
        <v>37.1</v>
      </c>
      <c r="DV69" s="239">
        <v>28.99</v>
      </c>
      <c r="DW69" s="239">
        <v>55.25</v>
      </c>
      <c r="DX69" s="239">
        <v>52.05</v>
      </c>
      <c r="DY69" s="239">
        <v>55.9</v>
      </c>
      <c r="DZ69" s="239">
        <v>52</v>
      </c>
      <c r="EA69" s="239">
        <v>68.25</v>
      </c>
      <c r="EB69" s="239">
        <v>61.126</v>
      </c>
      <c r="EC69" s="239">
        <v>65</v>
      </c>
      <c r="ED69" s="239">
        <v>18.2</v>
      </c>
      <c r="EE69" s="239">
        <v>31.1</v>
      </c>
      <c r="EF69" s="239">
        <v>21.125</v>
      </c>
      <c r="EG69" s="239">
        <f t="shared" si="22"/>
        <v>546.0909999999999</v>
      </c>
      <c r="EH69" s="239">
        <v>53.3</v>
      </c>
      <c r="EI69" s="239">
        <v>0.975</v>
      </c>
      <c r="EJ69" s="239">
        <v>41.925</v>
      </c>
      <c r="EK69" s="239">
        <v>54.6</v>
      </c>
      <c r="EL69" s="239">
        <v>54.925</v>
      </c>
      <c r="EM69" s="239">
        <v>56.55</v>
      </c>
      <c r="EN69" s="239">
        <v>19.5</v>
      </c>
      <c r="EO69" s="239">
        <v>41.925</v>
      </c>
      <c r="EP69" s="239">
        <v>26</v>
      </c>
      <c r="EQ69" s="239">
        <v>57.447</v>
      </c>
      <c r="ER69" s="239">
        <v>82.147</v>
      </c>
      <c r="ES69" s="239">
        <v>67.925</v>
      </c>
      <c r="ET69" s="239">
        <f t="shared" si="28"/>
        <v>546.0909999999999</v>
      </c>
      <c r="EU69" s="239">
        <f t="shared" si="23"/>
        <v>557.2189999999999</v>
      </c>
      <c r="EV69" s="239">
        <v>80.6</v>
      </c>
      <c r="EW69" s="239">
        <v>71.877</v>
      </c>
      <c r="EX69" s="239">
        <v>32.5</v>
      </c>
      <c r="EY69" s="239">
        <v>108.28</v>
      </c>
      <c r="EZ69" s="239">
        <v>73.138</v>
      </c>
      <c r="FA69" s="239">
        <v>55.25</v>
      </c>
      <c r="FB69" s="239">
        <v>88.4</v>
      </c>
      <c r="FC69" s="239">
        <v>90.35</v>
      </c>
      <c r="FD69" s="239">
        <v>69.55</v>
      </c>
      <c r="FE69" s="239">
        <v>72.15</v>
      </c>
      <c r="FF69" s="239">
        <v>72.8</v>
      </c>
      <c r="FG69" s="287">
        <v>77.09</v>
      </c>
      <c r="FH69" s="239">
        <v>70.2</v>
      </c>
      <c r="FI69" s="239">
        <v>71.5</v>
      </c>
      <c r="FJ69" s="239">
        <v>78</v>
      </c>
      <c r="FK69" s="239">
        <v>131.105</v>
      </c>
      <c r="FL69" s="239">
        <v>85.45</v>
      </c>
      <c r="FM69" s="239">
        <v>93.6</v>
      </c>
      <c r="FN69" s="239">
        <v>54.6</v>
      </c>
      <c r="FO69" s="239">
        <v>60.25</v>
      </c>
      <c r="FP69" s="239">
        <v>48.1</v>
      </c>
      <c r="FQ69" s="239">
        <v>61.1</v>
      </c>
      <c r="FR69" s="239">
        <v>35.1</v>
      </c>
      <c r="FS69" s="239">
        <v>28.6</v>
      </c>
      <c r="FT69" s="239">
        <v>53.95</v>
      </c>
      <c r="FU69" s="239">
        <v>46.15</v>
      </c>
      <c r="FV69" s="239">
        <v>57.2</v>
      </c>
      <c r="FW69" s="239">
        <v>30.55</v>
      </c>
      <c r="FX69" s="239">
        <v>68.25</v>
      </c>
      <c r="FY69" s="239">
        <v>74.1</v>
      </c>
      <c r="FZ69" s="239">
        <v>516.74</v>
      </c>
      <c r="GA69" s="239">
        <v>74.75</v>
      </c>
      <c r="GB69" s="239">
        <v>82.55</v>
      </c>
      <c r="GC69" s="239">
        <v>87.1</v>
      </c>
      <c r="GD69" s="239">
        <v>80</v>
      </c>
      <c r="GE69" s="239">
        <v>87.822</v>
      </c>
      <c r="GF69" s="239">
        <v>84.5</v>
      </c>
      <c r="GG69" s="239">
        <v>94.9</v>
      </c>
      <c r="GH69" s="239">
        <v>71.5</v>
      </c>
      <c r="GI69" s="239">
        <v>0</v>
      </c>
      <c r="GJ69" s="239"/>
      <c r="GK69" s="239"/>
      <c r="GL69" s="239"/>
      <c r="GM69" s="239"/>
      <c r="GN69" s="239"/>
      <c r="GO69" s="239"/>
      <c r="GP69" s="239"/>
      <c r="GQ69" s="239"/>
      <c r="GR69" s="239">
        <f t="shared" si="29"/>
        <v>187.85000000000002</v>
      </c>
      <c r="GS69" s="239">
        <f t="shared" si="30"/>
        <v>250.9</v>
      </c>
    </row>
    <row r="70" spans="1:201" s="84" customFormat="1" ht="15.75">
      <c r="A70" s="74" t="s">
        <v>42</v>
      </c>
      <c r="B70" s="74" t="s">
        <v>43</v>
      </c>
      <c r="C70" s="146">
        <v>62</v>
      </c>
      <c r="D70" s="146"/>
      <c r="E70" s="146">
        <v>114</v>
      </c>
      <c r="F70" s="146">
        <v>109</v>
      </c>
      <c r="G70" s="146">
        <v>214</v>
      </c>
      <c r="H70" s="146">
        <v>179</v>
      </c>
      <c r="I70" s="146">
        <v>137</v>
      </c>
      <c r="J70" s="147">
        <v>211</v>
      </c>
      <c r="K70" s="146">
        <v>100</v>
      </c>
      <c r="L70" s="148">
        <v>96</v>
      </c>
      <c r="M70" s="149">
        <v>37</v>
      </c>
      <c r="N70" s="148">
        <v>61</v>
      </c>
      <c r="O70" s="154">
        <v>25</v>
      </c>
      <c r="P70" s="145">
        <v>132</v>
      </c>
      <c r="Q70" s="152">
        <v>72</v>
      </c>
      <c r="R70" s="145">
        <v>53</v>
      </c>
      <c r="S70" s="145">
        <v>82</v>
      </c>
      <c r="T70" s="152">
        <v>269</v>
      </c>
      <c r="U70" s="152">
        <v>726.2</v>
      </c>
      <c r="V70" s="145">
        <v>240.2</v>
      </c>
      <c r="W70" s="145">
        <v>4067</v>
      </c>
      <c r="X70" s="231">
        <v>367</v>
      </c>
      <c r="Y70" s="240">
        <f t="shared" si="31"/>
        <v>576.55</v>
      </c>
      <c r="Z70" s="240">
        <f t="shared" si="32"/>
        <v>757.3249999999999</v>
      </c>
      <c r="AA70" s="240">
        <v>1207.8020000000001</v>
      </c>
      <c r="AB70" s="240">
        <v>358.02700000000004</v>
      </c>
      <c r="AC70" s="240">
        <v>133.601</v>
      </c>
      <c r="AD70" s="239">
        <v>248.5</v>
      </c>
      <c r="AE70" s="239">
        <v>332.79600000000005</v>
      </c>
      <c r="AF70" s="239">
        <v>597.013</v>
      </c>
      <c r="AG70" s="240">
        <v>57</v>
      </c>
      <c r="AH70" s="240">
        <v>22</v>
      </c>
      <c r="AI70" s="240">
        <f>21+29+2+40+13</f>
        <v>105</v>
      </c>
      <c r="AJ70" s="240">
        <f>5+14</f>
        <v>19</v>
      </c>
      <c r="AK70" s="240">
        <v>46</v>
      </c>
      <c r="AL70" s="240">
        <v>31</v>
      </c>
      <c r="AM70" s="240"/>
      <c r="AN70" s="240">
        <v>25</v>
      </c>
      <c r="AO70" s="240">
        <f>20+35+38</f>
        <v>93</v>
      </c>
      <c r="AP70" s="240">
        <f>35+20.4</f>
        <v>55.4</v>
      </c>
      <c r="AQ70" s="240">
        <f>26.4+62.5</f>
        <v>88.9</v>
      </c>
      <c r="AR70" s="240">
        <f>1.7+182.2</f>
        <v>183.89999999999998</v>
      </c>
      <c r="AS70" s="240">
        <f t="shared" si="24"/>
        <v>726.1999999999999</v>
      </c>
      <c r="AT70" s="240">
        <v>30</v>
      </c>
      <c r="AU70" s="240">
        <v>21</v>
      </c>
      <c r="AV70" s="240">
        <v>36</v>
      </c>
      <c r="AW70" s="240">
        <v>23.7</v>
      </c>
      <c r="AX70" s="240">
        <v>14</v>
      </c>
      <c r="AY70" s="240">
        <v>12</v>
      </c>
      <c r="AZ70" s="240"/>
      <c r="BA70" s="240">
        <v>7.2</v>
      </c>
      <c r="BB70" s="240">
        <v>27</v>
      </c>
      <c r="BC70" s="240">
        <v>14</v>
      </c>
      <c r="BD70" s="240">
        <v>24</v>
      </c>
      <c r="BE70" s="240">
        <v>31.3</v>
      </c>
      <c r="BF70" s="240">
        <f t="shared" si="25"/>
        <v>240.2</v>
      </c>
      <c r="BG70" s="240"/>
      <c r="BH70" s="240">
        <v>0.5</v>
      </c>
      <c r="BI70" s="240">
        <v>22.7</v>
      </c>
      <c r="BJ70" s="240">
        <v>466</v>
      </c>
      <c r="BK70" s="240">
        <v>23.4</v>
      </c>
      <c r="BL70" s="240">
        <v>71.81</v>
      </c>
      <c r="BM70" s="240">
        <f>1.547+75.473</f>
        <v>77.02</v>
      </c>
      <c r="BN70" s="240">
        <v>75.5</v>
      </c>
      <c r="BO70" s="240">
        <v>48.8</v>
      </c>
      <c r="BP70" s="240">
        <v>87.455</v>
      </c>
      <c r="BQ70" s="240">
        <v>3101.879</v>
      </c>
      <c r="BR70" s="240">
        <f>57+9</f>
        <v>66</v>
      </c>
      <c r="BS70" s="240">
        <f t="shared" si="21"/>
        <v>4041.064</v>
      </c>
      <c r="BT70" s="240">
        <f t="shared" si="33"/>
        <v>4041.064</v>
      </c>
      <c r="BU70" s="240">
        <v>25</v>
      </c>
      <c r="BV70" s="240">
        <v>18</v>
      </c>
      <c r="BW70" s="240">
        <f>22+25+15</f>
        <v>62</v>
      </c>
      <c r="BX70" s="240">
        <v>42</v>
      </c>
      <c r="BY70" s="240"/>
      <c r="BZ70" s="240">
        <v>68</v>
      </c>
      <c r="CA70" s="240">
        <v>17</v>
      </c>
      <c r="CB70" s="240">
        <v>34</v>
      </c>
      <c r="CC70" s="240">
        <v>5</v>
      </c>
      <c r="CD70" s="240">
        <v>27</v>
      </c>
      <c r="CE70" s="240">
        <v>39</v>
      </c>
      <c r="CF70" s="240">
        <v>30</v>
      </c>
      <c r="CG70" s="240">
        <f t="shared" si="26"/>
        <v>367</v>
      </c>
      <c r="CH70" s="240">
        <v>54</v>
      </c>
      <c r="CI70" s="240">
        <v>25</v>
      </c>
      <c r="CJ70" s="240">
        <v>49</v>
      </c>
      <c r="CK70" s="240">
        <v>52</v>
      </c>
      <c r="CL70" s="240">
        <v>33</v>
      </c>
      <c r="CM70" s="240">
        <v>26</v>
      </c>
      <c r="CN70" s="240">
        <v>23</v>
      </c>
      <c r="CO70" s="240">
        <v>28</v>
      </c>
      <c r="CP70" s="240">
        <v>157.916</v>
      </c>
      <c r="CQ70" s="240">
        <v>4.634</v>
      </c>
      <c r="CR70" s="240">
        <v>61</v>
      </c>
      <c r="CS70" s="240">
        <v>63</v>
      </c>
      <c r="CT70" s="240">
        <f t="shared" si="34"/>
        <v>576.55</v>
      </c>
      <c r="CU70" s="240">
        <v>22</v>
      </c>
      <c r="CV70" s="240">
        <v>22</v>
      </c>
      <c r="CW70" s="240">
        <v>77</v>
      </c>
      <c r="CX70" s="240">
        <f>0.3+3</f>
        <v>3.3</v>
      </c>
      <c r="CY70" s="240">
        <v>68.1</v>
      </c>
      <c r="CZ70" s="240">
        <v>25.9</v>
      </c>
      <c r="DA70" s="240">
        <v>133</v>
      </c>
      <c r="DB70" s="240">
        <v>96.98</v>
      </c>
      <c r="DC70" s="240">
        <v>83.32</v>
      </c>
      <c r="DD70" s="240">
        <v>92.642</v>
      </c>
      <c r="DE70" s="240">
        <v>64.083</v>
      </c>
      <c r="DF70" s="240">
        <v>69</v>
      </c>
      <c r="DG70" s="240">
        <f t="shared" si="35"/>
        <v>757.3249999999999</v>
      </c>
      <c r="DH70" s="240">
        <v>32.441</v>
      </c>
      <c r="DI70" s="240">
        <v>156.898</v>
      </c>
      <c r="DJ70" s="240">
        <v>77.014</v>
      </c>
      <c r="DK70" s="240">
        <v>116.1</v>
      </c>
      <c r="DL70" s="240">
        <v>200.7</v>
      </c>
      <c r="DM70" s="240">
        <v>101.9</v>
      </c>
      <c r="DN70" s="240">
        <v>115.9</v>
      </c>
      <c r="DO70" s="240">
        <v>101.094</v>
      </c>
      <c r="DP70" s="240">
        <v>44.7</v>
      </c>
      <c r="DQ70" s="240">
        <v>140.119</v>
      </c>
      <c r="DR70" s="240">
        <v>83.536</v>
      </c>
      <c r="DS70" s="240">
        <v>37.4</v>
      </c>
      <c r="DT70" s="240">
        <f t="shared" si="27"/>
        <v>1207.8020000000001</v>
      </c>
      <c r="DU70" s="240">
        <v>10.401</v>
      </c>
      <c r="DV70" s="240">
        <v>45.075</v>
      </c>
      <c r="DW70" s="240">
        <v>15.044999999999987</v>
      </c>
      <c r="DX70" s="240">
        <v>27.903</v>
      </c>
      <c r="DY70" s="240">
        <v>39.9</v>
      </c>
      <c r="DZ70" s="240">
        <v>15.277000000000001</v>
      </c>
      <c r="EA70" s="240">
        <v>38.097</v>
      </c>
      <c r="EB70" s="240">
        <v>73.52600000000001</v>
      </c>
      <c r="EC70" s="240">
        <v>26.935</v>
      </c>
      <c r="ED70" s="240">
        <v>39.535</v>
      </c>
      <c r="EE70" s="240">
        <v>23.955</v>
      </c>
      <c r="EF70" s="240">
        <v>2.377999999999986</v>
      </c>
      <c r="EG70" s="239">
        <f t="shared" si="22"/>
        <v>358.02700000000004</v>
      </c>
      <c r="EH70" s="240">
        <v>0.2</v>
      </c>
      <c r="EI70" s="240"/>
      <c r="EJ70" s="240">
        <v>15.499</v>
      </c>
      <c r="EK70" s="240">
        <v>0.2</v>
      </c>
      <c r="EL70" s="240">
        <v>16.744999999999997</v>
      </c>
      <c r="EM70" s="240">
        <v>14.88</v>
      </c>
      <c r="EN70" s="240"/>
      <c r="EO70" s="240"/>
      <c r="EP70" s="240">
        <v>14.824</v>
      </c>
      <c r="EQ70" s="240">
        <v>12.987</v>
      </c>
      <c r="ER70" s="240">
        <v>58.266</v>
      </c>
      <c r="ES70" s="240"/>
      <c r="ET70" s="239">
        <f t="shared" si="28"/>
        <v>358.02700000000004</v>
      </c>
      <c r="EU70" s="239">
        <f t="shared" si="23"/>
        <v>133.601</v>
      </c>
      <c r="EV70" s="239">
        <v>60.152</v>
      </c>
      <c r="EW70" s="239">
        <v>16.11</v>
      </c>
      <c r="EX70" s="239">
        <v>44.803</v>
      </c>
      <c r="EY70" s="239">
        <v>64.759</v>
      </c>
      <c r="EZ70" s="239"/>
      <c r="FA70" s="239"/>
      <c r="FB70" s="239">
        <v>43.050999999999995</v>
      </c>
      <c r="FC70" s="239">
        <v>18.075</v>
      </c>
      <c r="FD70" s="239">
        <v>1</v>
      </c>
      <c r="FE70" s="239"/>
      <c r="FF70" s="239"/>
      <c r="FG70" s="287">
        <v>0.55</v>
      </c>
      <c r="FH70" s="239">
        <v>2.519</v>
      </c>
      <c r="FI70" s="239">
        <v>3.4</v>
      </c>
      <c r="FJ70" s="239">
        <v>1.7999999999999998</v>
      </c>
      <c r="FK70" s="239">
        <v>15.05600000000004</v>
      </c>
      <c r="FL70" s="239">
        <v>28.307000000000016</v>
      </c>
      <c r="FM70" s="239">
        <v>25.134</v>
      </c>
      <c r="FN70" s="239">
        <v>25.648</v>
      </c>
      <c r="FO70" s="239">
        <v>38.815000000000005</v>
      </c>
      <c r="FP70" s="239">
        <v>23.571</v>
      </c>
      <c r="FQ70" s="239">
        <v>39.646</v>
      </c>
      <c r="FR70" s="239">
        <v>21.65</v>
      </c>
      <c r="FS70" s="239">
        <v>107.25</v>
      </c>
      <c r="FT70" s="239"/>
      <c r="FU70" s="239">
        <v>80.812</v>
      </c>
      <c r="FV70" s="239">
        <v>42.775</v>
      </c>
      <c r="FW70" s="239">
        <v>42.378</v>
      </c>
      <c r="FX70" s="239"/>
      <c r="FY70" s="239">
        <v>42.566</v>
      </c>
      <c r="FZ70" s="239">
        <v>54.815</v>
      </c>
      <c r="GA70" s="239">
        <v>55.452</v>
      </c>
      <c r="GB70" s="239">
        <v>90.048</v>
      </c>
      <c r="GC70" s="239">
        <v>106.688</v>
      </c>
      <c r="GD70" s="239">
        <v>4.95</v>
      </c>
      <c r="GE70" s="239">
        <v>76.529</v>
      </c>
      <c r="GF70" s="239">
        <v>120.307</v>
      </c>
      <c r="GG70" s="239">
        <v>128.972</v>
      </c>
      <c r="GH70" s="239">
        <v>32.986999999999995</v>
      </c>
      <c r="GI70" s="239">
        <v>125.438</v>
      </c>
      <c r="GJ70" s="239"/>
      <c r="GK70" s="239"/>
      <c r="GL70" s="239"/>
      <c r="GM70" s="239"/>
      <c r="GN70" s="239"/>
      <c r="GO70" s="239"/>
      <c r="GP70" s="239"/>
      <c r="GQ70" s="239"/>
      <c r="GR70" s="239">
        <f t="shared" si="29"/>
        <v>165.96499999999997</v>
      </c>
      <c r="GS70" s="239">
        <f t="shared" si="30"/>
        <v>407.70399999999995</v>
      </c>
    </row>
    <row r="71" spans="1:201" s="84" customFormat="1" ht="15.75">
      <c r="A71" s="74" t="s">
        <v>102</v>
      </c>
      <c r="B71" s="74" t="s">
        <v>103</v>
      </c>
      <c r="C71" s="146"/>
      <c r="D71" s="146"/>
      <c r="E71" s="146"/>
      <c r="F71" s="146"/>
      <c r="G71" s="146"/>
      <c r="H71" s="146"/>
      <c r="I71" s="146"/>
      <c r="J71" s="147"/>
      <c r="K71" s="146"/>
      <c r="L71" s="148"/>
      <c r="M71" s="149"/>
      <c r="N71" s="148"/>
      <c r="O71" s="154"/>
      <c r="P71" s="145"/>
      <c r="Q71" s="152"/>
      <c r="R71" s="145"/>
      <c r="S71" s="145"/>
      <c r="T71" s="152"/>
      <c r="U71" s="152"/>
      <c r="V71" s="145"/>
      <c r="W71" s="145"/>
      <c r="X71" s="231"/>
      <c r="Y71" s="240"/>
      <c r="Z71" s="240"/>
      <c r="AA71" s="240"/>
      <c r="AB71" s="240">
        <v>480</v>
      </c>
      <c r="AC71" s="240">
        <v>141.231</v>
      </c>
      <c r="AD71" s="239">
        <v>23</v>
      </c>
      <c r="AE71" s="239">
        <v>1560.75</v>
      </c>
      <c r="AF71" s="239">
        <v>8.725000000000001</v>
      </c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>
        <v>160</v>
      </c>
      <c r="DX71" s="240">
        <v>0</v>
      </c>
      <c r="DY71" s="240"/>
      <c r="DZ71" s="240"/>
      <c r="EA71" s="240"/>
      <c r="EB71" s="240">
        <v>160</v>
      </c>
      <c r="EC71" s="240"/>
      <c r="ED71" s="240"/>
      <c r="EE71" s="240"/>
      <c r="EF71" s="240">
        <v>160</v>
      </c>
      <c r="EG71" s="239">
        <f t="shared" si="22"/>
        <v>480</v>
      </c>
      <c r="EH71" s="240"/>
      <c r="EI71" s="240">
        <v>140</v>
      </c>
      <c r="EJ71" s="240"/>
      <c r="EK71" s="240"/>
      <c r="EL71" s="240"/>
      <c r="EM71" s="240"/>
      <c r="EN71" s="240"/>
      <c r="EO71" s="240"/>
      <c r="EP71" s="240"/>
      <c r="EQ71" s="240"/>
      <c r="ER71" s="240"/>
      <c r="ES71" s="240">
        <v>1.231</v>
      </c>
      <c r="ET71" s="239">
        <f t="shared" si="28"/>
        <v>480</v>
      </c>
      <c r="EU71" s="239">
        <f t="shared" si="23"/>
        <v>141.231</v>
      </c>
      <c r="EV71" s="239"/>
      <c r="EW71" s="239">
        <v>7.5</v>
      </c>
      <c r="EX71" s="239">
        <v>7.5</v>
      </c>
      <c r="EY71" s="239">
        <v>7.5</v>
      </c>
      <c r="EZ71" s="239">
        <v>0.5</v>
      </c>
      <c r="FA71" s="239"/>
      <c r="FB71" s="239"/>
      <c r="FC71" s="239"/>
      <c r="FD71" s="239"/>
      <c r="FE71" s="239"/>
      <c r="FF71" s="239"/>
      <c r="FG71" s="287"/>
      <c r="FH71" s="239"/>
      <c r="FI71" s="239"/>
      <c r="FJ71" s="239">
        <v>0.1</v>
      </c>
      <c r="FK71" s="239">
        <v>865.5</v>
      </c>
      <c r="FL71" s="239">
        <v>695</v>
      </c>
      <c r="FM71" s="239"/>
      <c r="FN71" s="239"/>
      <c r="FO71" s="239">
        <v>0.15</v>
      </c>
      <c r="FP71" s="239"/>
      <c r="FQ71" s="239"/>
      <c r="FR71" s="239"/>
      <c r="FS71" s="239"/>
      <c r="FT71" s="239">
        <v>0.6</v>
      </c>
      <c r="FU71" s="239">
        <v>0.15</v>
      </c>
      <c r="FV71" s="239">
        <v>1</v>
      </c>
      <c r="FW71" s="239">
        <v>0</v>
      </c>
      <c r="FX71" s="239">
        <v>0.95</v>
      </c>
      <c r="FY71" s="239">
        <v>0</v>
      </c>
      <c r="FZ71" s="239">
        <v>2.25</v>
      </c>
      <c r="GA71" s="239">
        <v>2.175</v>
      </c>
      <c r="GB71" s="239">
        <v>0.75</v>
      </c>
      <c r="GC71" s="239">
        <v>0.25</v>
      </c>
      <c r="GD71" s="239">
        <v>0.3</v>
      </c>
      <c r="GE71" s="239">
        <v>0.3</v>
      </c>
      <c r="GF71" s="239">
        <v>80.2</v>
      </c>
      <c r="GG71" s="239">
        <v>0</v>
      </c>
      <c r="GH71" s="239">
        <v>94.35</v>
      </c>
      <c r="GI71" s="239">
        <v>0.1</v>
      </c>
      <c r="GJ71" s="239"/>
      <c r="GK71" s="239"/>
      <c r="GL71" s="239"/>
      <c r="GM71" s="239"/>
      <c r="GN71" s="239"/>
      <c r="GO71" s="239"/>
      <c r="GP71" s="239"/>
      <c r="GQ71" s="239"/>
      <c r="GR71" s="239">
        <f t="shared" si="29"/>
        <v>1.75</v>
      </c>
      <c r="GS71" s="239">
        <f t="shared" si="30"/>
        <v>174.65</v>
      </c>
    </row>
    <row r="72" spans="1:201" s="84" customFormat="1" ht="15.75">
      <c r="A72" s="293">
        <v>2710113</v>
      </c>
      <c r="B72" s="74" t="s">
        <v>134</v>
      </c>
      <c r="C72" s="146"/>
      <c r="D72" s="146"/>
      <c r="E72" s="146"/>
      <c r="F72" s="146"/>
      <c r="G72" s="146"/>
      <c r="H72" s="146"/>
      <c r="I72" s="146"/>
      <c r="J72" s="147"/>
      <c r="K72" s="146"/>
      <c r="L72" s="148"/>
      <c r="M72" s="149"/>
      <c r="N72" s="148"/>
      <c r="O72" s="154"/>
      <c r="P72" s="145"/>
      <c r="Q72" s="152"/>
      <c r="R72" s="145"/>
      <c r="S72" s="145"/>
      <c r="T72" s="152"/>
      <c r="U72" s="152"/>
      <c r="V72" s="145"/>
      <c r="W72" s="145"/>
      <c r="X72" s="231"/>
      <c r="Y72" s="240"/>
      <c r="Z72" s="240"/>
      <c r="AA72" s="240"/>
      <c r="AB72" s="240"/>
      <c r="AC72" s="240"/>
      <c r="AD72" s="239"/>
      <c r="AE72" s="239"/>
      <c r="AF72" s="239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40"/>
      <c r="DO72" s="240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  <c r="EB72" s="240"/>
      <c r="EC72" s="240"/>
      <c r="ED72" s="240"/>
      <c r="EE72" s="240"/>
      <c r="EF72" s="240"/>
      <c r="EG72" s="239"/>
      <c r="EH72" s="240"/>
      <c r="EI72" s="240"/>
      <c r="EJ72" s="240"/>
      <c r="EK72" s="240"/>
      <c r="EL72" s="240"/>
      <c r="EM72" s="240"/>
      <c r="EN72" s="240"/>
      <c r="EO72" s="240"/>
      <c r="EP72" s="240"/>
      <c r="EQ72" s="240"/>
      <c r="ER72" s="240"/>
      <c r="ES72" s="240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39"/>
      <c r="FF72" s="239"/>
      <c r="FG72" s="287"/>
      <c r="FH72" s="239"/>
      <c r="FI72" s="239"/>
      <c r="FJ72" s="239"/>
      <c r="FK72" s="239"/>
      <c r="FL72" s="239"/>
      <c r="FM72" s="239"/>
      <c r="FN72" s="239"/>
      <c r="FO72" s="239"/>
      <c r="FP72" s="239"/>
      <c r="FQ72" s="239"/>
      <c r="FR72" s="239"/>
      <c r="FS72" s="239"/>
      <c r="FT72" s="239"/>
      <c r="FU72" s="239"/>
      <c r="FV72" s="239"/>
      <c r="FW72" s="239"/>
      <c r="FX72" s="239"/>
      <c r="FY72" s="239"/>
      <c r="FZ72" s="239"/>
      <c r="GA72" s="239"/>
      <c r="GB72" s="239"/>
      <c r="GC72" s="239"/>
      <c r="GD72" s="239"/>
      <c r="GE72" s="239"/>
      <c r="GF72" s="239">
        <v>143.736</v>
      </c>
      <c r="GG72" s="239">
        <v>197.57599999999996</v>
      </c>
      <c r="GH72" s="239">
        <v>376.824</v>
      </c>
      <c r="GI72" s="239">
        <v>334.52</v>
      </c>
      <c r="GJ72" s="239"/>
      <c r="GK72" s="239"/>
      <c r="GL72" s="239"/>
      <c r="GM72" s="239"/>
      <c r="GN72" s="239"/>
      <c r="GO72" s="239"/>
      <c r="GP72" s="239"/>
      <c r="GQ72" s="239"/>
      <c r="GR72" s="239">
        <f t="shared" si="29"/>
        <v>0</v>
      </c>
      <c r="GS72" s="239">
        <f t="shared" si="30"/>
        <v>1052.656</v>
      </c>
    </row>
    <row r="73" spans="1:201" s="84" customFormat="1" ht="15.75">
      <c r="A73" s="74" t="s">
        <v>44</v>
      </c>
      <c r="B73" s="74" t="s">
        <v>45</v>
      </c>
      <c r="C73" s="155" t="s">
        <v>14</v>
      </c>
      <c r="D73" s="146"/>
      <c r="E73" s="146">
        <v>13</v>
      </c>
      <c r="F73" s="146">
        <v>35</v>
      </c>
      <c r="G73" s="146">
        <v>324</v>
      </c>
      <c r="H73" s="146">
        <v>860</v>
      </c>
      <c r="I73" s="146">
        <v>1065</v>
      </c>
      <c r="J73" s="147">
        <v>496</v>
      </c>
      <c r="K73" s="146">
        <v>1</v>
      </c>
      <c r="L73" s="148">
        <v>15</v>
      </c>
      <c r="M73" s="149" t="s">
        <v>14</v>
      </c>
      <c r="N73" s="148" t="s">
        <v>14</v>
      </c>
      <c r="O73" s="154">
        <v>100</v>
      </c>
      <c r="P73" s="145" t="s">
        <v>66</v>
      </c>
      <c r="Q73" s="152" t="s">
        <v>14</v>
      </c>
      <c r="R73" s="145">
        <v>68</v>
      </c>
      <c r="S73" s="145" t="s">
        <v>14</v>
      </c>
      <c r="T73" s="145">
        <v>62</v>
      </c>
      <c r="U73" s="145">
        <v>215.5</v>
      </c>
      <c r="V73" s="145">
        <v>426</v>
      </c>
      <c r="W73" s="145">
        <v>1014</v>
      </c>
      <c r="X73" s="196">
        <v>1301</v>
      </c>
      <c r="Y73" s="239">
        <f t="shared" si="31"/>
        <v>1288.7</v>
      </c>
      <c r="Z73" s="239">
        <f t="shared" si="32"/>
        <v>4039.8720000000003</v>
      </c>
      <c r="AA73" s="239">
        <v>5571.025</v>
      </c>
      <c r="AB73" s="239">
        <v>8073.785</v>
      </c>
      <c r="AC73" s="239">
        <v>7452.644</v>
      </c>
      <c r="AD73" s="239">
        <v>8359.483</v>
      </c>
      <c r="AE73" s="239">
        <v>5097.453</v>
      </c>
      <c r="AF73" s="239">
        <v>1988.2500000000005</v>
      </c>
      <c r="AG73" s="239" t="s">
        <v>14</v>
      </c>
      <c r="AH73" s="239">
        <v>72</v>
      </c>
      <c r="AI73" s="239">
        <v>24</v>
      </c>
      <c r="AJ73" s="239"/>
      <c r="AK73" s="239">
        <v>24</v>
      </c>
      <c r="AL73" s="239"/>
      <c r="AM73" s="239"/>
      <c r="AN73" s="239">
        <v>24</v>
      </c>
      <c r="AO73" s="239">
        <v>24</v>
      </c>
      <c r="AP73" s="239">
        <v>0</v>
      </c>
      <c r="AQ73" s="239">
        <v>23.5</v>
      </c>
      <c r="AR73" s="239">
        <v>24</v>
      </c>
      <c r="AS73" s="239">
        <f t="shared" si="24"/>
        <v>215.5</v>
      </c>
      <c r="AT73" s="239">
        <v>24</v>
      </c>
      <c r="AU73" s="239"/>
      <c r="AV73" s="239">
        <v>240</v>
      </c>
      <c r="AW73" s="239">
        <v>24</v>
      </c>
      <c r="AX73" s="239"/>
      <c r="AY73" s="239">
        <v>24</v>
      </c>
      <c r="AZ73" s="239">
        <v>24</v>
      </c>
      <c r="BA73" s="239">
        <v>30</v>
      </c>
      <c r="BB73" s="239">
        <v>15</v>
      </c>
      <c r="BC73" s="239">
        <v>15</v>
      </c>
      <c r="BD73" s="239"/>
      <c r="BE73" s="239">
        <v>30</v>
      </c>
      <c r="BF73" s="239">
        <f t="shared" si="25"/>
        <v>426</v>
      </c>
      <c r="BG73" s="239">
        <v>15</v>
      </c>
      <c r="BH73" s="239">
        <v>15</v>
      </c>
      <c r="BI73" s="239">
        <v>15.5</v>
      </c>
      <c r="BJ73" s="239">
        <v>52.778</v>
      </c>
      <c r="BK73" s="239">
        <v>81</v>
      </c>
      <c r="BL73" s="239">
        <v>87.9</v>
      </c>
      <c r="BM73" s="239">
        <v>110.412</v>
      </c>
      <c r="BN73" s="239">
        <v>131.5</v>
      </c>
      <c r="BO73" s="239">
        <v>196.2</v>
      </c>
      <c r="BP73" s="239">
        <v>68.4</v>
      </c>
      <c r="BQ73" s="239">
        <v>60.6</v>
      </c>
      <c r="BR73" s="239">
        <v>179.45</v>
      </c>
      <c r="BS73" s="239">
        <f t="shared" si="21"/>
        <v>1013.74</v>
      </c>
      <c r="BT73" s="239">
        <f t="shared" si="33"/>
        <v>1013.74</v>
      </c>
      <c r="BU73" s="239">
        <f>118+7</f>
        <v>125</v>
      </c>
      <c r="BV73" s="239">
        <v>35</v>
      </c>
      <c r="BW73" s="239">
        <f>22+83</f>
        <v>105</v>
      </c>
      <c r="BX73" s="239">
        <v>117</v>
      </c>
      <c r="BY73" s="239">
        <v>127</v>
      </c>
      <c r="BZ73" s="239">
        <v>44</v>
      </c>
      <c r="CA73" s="239">
        <v>172</v>
      </c>
      <c r="CB73" s="239">
        <v>112</v>
      </c>
      <c r="CC73" s="239">
        <v>145</v>
      </c>
      <c r="CD73" s="239">
        <v>62</v>
      </c>
      <c r="CE73" s="239">
        <v>97</v>
      </c>
      <c r="CF73" s="239">
        <v>160</v>
      </c>
      <c r="CG73" s="239">
        <f t="shared" si="26"/>
        <v>1301</v>
      </c>
      <c r="CH73" s="239">
        <v>21</v>
      </c>
      <c r="CI73" s="239">
        <v>78</v>
      </c>
      <c r="CJ73" s="239">
        <v>79</v>
      </c>
      <c r="CK73" s="239">
        <v>144</v>
      </c>
      <c r="CL73" s="239">
        <v>38</v>
      </c>
      <c r="CM73" s="239">
        <v>56</v>
      </c>
      <c r="CN73" s="239">
        <v>95</v>
      </c>
      <c r="CO73" s="239">
        <v>150</v>
      </c>
      <c r="CP73" s="239">
        <v>114.2</v>
      </c>
      <c r="CQ73" s="239">
        <v>84.5</v>
      </c>
      <c r="CR73" s="239">
        <v>161</v>
      </c>
      <c r="CS73" s="239">
        <v>268</v>
      </c>
      <c r="CT73" s="239">
        <f t="shared" si="34"/>
        <v>1288.7</v>
      </c>
      <c r="CU73" s="239">
        <v>345</v>
      </c>
      <c r="CV73" s="239">
        <v>303</v>
      </c>
      <c r="CW73" s="239">
        <v>337.9</v>
      </c>
      <c r="CX73" s="239">
        <v>247.1</v>
      </c>
      <c r="CY73" s="239">
        <v>436.6</v>
      </c>
      <c r="CZ73" s="239">
        <v>372.7</v>
      </c>
      <c r="DA73" s="239">
        <v>269.9</v>
      </c>
      <c r="DB73" s="239">
        <v>330.34</v>
      </c>
      <c r="DC73" s="239">
        <f>414.14+20</f>
        <v>434.14</v>
      </c>
      <c r="DD73" s="239">
        <v>306.932</v>
      </c>
      <c r="DE73" s="239">
        <v>420.26000000000005</v>
      </c>
      <c r="DF73" s="239">
        <v>236</v>
      </c>
      <c r="DG73" s="239">
        <f t="shared" si="35"/>
        <v>4039.8720000000003</v>
      </c>
      <c r="DH73" s="239">
        <v>399.356</v>
      </c>
      <c r="DI73" s="239">
        <v>224.85</v>
      </c>
      <c r="DJ73" s="239">
        <v>342.1</v>
      </c>
      <c r="DK73" s="239">
        <v>384</v>
      </c>
      <c r="DL73" s="239">
        <v>436.8</v>
      </c>
      <c r="DM73" s="239">
        <v>363.9</v>
      </c>
      <c r="DN73" s="239">
        <v>660.5</v>
      </c>
      <c r="DO73" s="239">
        <v>547.962</v>
      </c>
      <c r="DP73" s="239">
        <v>485.7</v>
      </c>
      <c r="DQ73" s="239">
        <v>656.105</v>
      </c>
      <c r="DR73" s="239">
        <v>560.952</v>
      </c>
      <c r="DS73" s="239">
        <v>508.8</v>
      </c>
      <c r="DT73" s="239">
        <f t="shared" si="27"/>
        <v>5571.025</v>
      </c>
      <c r="DU73" s="239">
        <v>629.988</v>
      </c>
      <c r="DV73" s="239">
        <v>723.26</v>
      </c>
      <c r="DW73" s="239">
        <v>585.186</v>
      </c>
      <c r="DX73" s="239">
        <v>578.893</v>
      </c>
      <c r="DY73" s="239">
        <v>701.938</v>
      </c>
      <c r="DZ73" s="239">
        <v>587.292</v>
      </c>
      <c r="EA73" s="239">
        <v>975.592</v>
      </c>
      <c r="EB73" s="239">
        <v>713.742</v>
      </c>
      <c r="EC73" s="239">
        <v>699.656</v>
      </c>
      <c r="ED73" s="239">
        <v>663.504</v>
      </c>
      <c r="EE73" s="239">
        <v>667.752</v>
      </c>
      <c r="EF73" s="239">
        <v>546.982</v>
      </c>
      <c r="EG73" s="239">
        <f t="shared" si="22"/>
        <v>8073.785</v>
      </c>
      <c r="EH73" s="239">
        <v>722.997</v>
      </c>
      <c r="EI73" s="239">
        <v>797.295</v>
      </c>
      <c r="EJ73" s="239">
        <v>510.496</v>
      </c>
      <c r="EK73" s="239">
        <v>553.055</v>
      </c>
      <c r="EL73" s="239">
        <v>726.57</v>
      </c>
      <c r="EM73" s="239">
        <v>411.52</v>
      </c>
      <c r="EN73" s="239">
        <v>618.794</v>
      </c>
      <c r="EO73" s="239">
        <v>684.402</v>
      </c>
      <c r="EP73" s="239">
        <v>611.648</v>
      </c>
      <c r="EQ73" s="239">
        <v>569.222</v>
      </c>
      <c r="ER73" s="239">
        <v>699.857</v>
      </c>
      <c r="ES73" s="239">
        <v>546.788</v>
      </c>
      <c r="ET73" s="239">
        <f t="shared" si="28"/>
        <v>8073.785</v>
      </c>
      <c r="EU73" s="239">
        <f t="shared" si="23"/>
        <v>7452.644</v>
      </c>
      <c r="EV73" s="239">
        <v>555.441</v>
      </c>
      <c r="EW73" s="239">
        <v>719.399</v>
      </c>
      <c r="EX73" s="239">
        <v>820.909</v>
      </c>
      <c r="EY73" s="239">
        <v>875.792</v>
      </c>
      <c r="EZ73" s="239">
        <v>561.704</v>
      </c>
      <c r="FA73" s="239">
        <v>855.549</v>
      </c>
      <c r="FB73" s="239">
        <v>497.785</v>
      </c>
      <c r="FC73" s="239">
        <v>779.212</v>
      </c>
      <c r="FD73" s="239">
        <v>832.635</v>
      </c>
      <c r="FE73" s="239">
        <v>806.776</v>
      </c>
      <c r="FF73" s="239">
        <v>426.404</v>
      </c>
      <c r="FG73" s="287">
        <v>627.877</v>
      </c>
      <c r="FH73" s="239">
        <v>739.884</v>
      </c>
      <c r="FI73" s="239">
        <v>729.944</v>
      </c>
      <c r="FJ73" s="239">
        <v>728.628</v>
      </c>
      <c r="FK73" s="239">
        <v>399.991</v>
      </c>
      <c r="FL73" s="239">
        <v>392.643</v>
      </c>
      <c r="FM73" s="239">
        <v>503.571</v>
      </c>
      <c r="FN73" s="239">
        <v>402.176</v>
      </c>
      <c r="FO73" s="239">
        <v>358.749</v>
      </c>
      <c r="FP73" s="239">
        <v>248.473</v>
      </c>
      <c r="FQ73" s="239">
        <v>241.536</v>
      </c>
      <c r="FR73" s="239">
        <v>255.854</v>
      </c>
      <c r="FS73" s="239">
        <v>96.004</v>
      </c>
      <c r="FT73" s="239">
        <v>205.12</v>
      </c>
      <c r="FU73" s="239">
        <v>114.11</v>
      </c>
      <c r="FV73" s="239">
        <v>44.724</v>
      </c>
      <c r="FW73" s="239">
        <v>193.112</v>
      </c>
      <c r="FX73" s="239">
        <v>260.572</v>
      </c>
      <c r="FY73" s="239">
        <v>311.894</v>
      </c>
      <c r="FZ73" s="239">
        <v>87.77</v>
      </c>
      <c r="GA73" s="239">
        <v>288.976</v>
      </c>
      <c r="GB73" s="239">
        <v>237.197</v>
      </c>
      <c r="GC73" s="239">
        <v>7.92</v>
      </c>
      <c r="GD73" s="239">
        <v>99.136</v>
      </c>
      <c r="GE73" s="239">
        <v>137.719</v>
      </c>
      <c r="GF73" s="239">
        <v>129.743</v>
      </c>
      <c r="GG73" s="239">
        <v>99.497</v>
      </c>
      <c r="GH73" s="239">
        <v>86.666</v>
      </c>
      <c r="GI73" s="239">
        <v>80.141</v>
      </c>
      <c r="GJ73" s="239"/>
      <c r="GK73" s="239"/>
      <c r="GL73" s="239"/>
      <c r="GM73" s="239"/>
      <c r="GN73" s="239"/>
      <c r="GO73" s="239"/>
      <c r="GP73" s="239"/>
      <c r="GQ73" s="239"/>
      <c r="GR73" s="239">
        <f t="shared" si="29"/>
        <v>557.066</v>
      </c>
      <c r="GS73" s="239">
        <f t="shared" si="30"/>
        <v>396.047</v>
      </c>
    </row>
    <row r="74" spans="1:201" ht="15.75">
      <c r="A74" s="31" t="s">
        <v>90</v>
      </c>
      <c r="B74" s="31" t="s">
        <v>46</v>
      </c>
      <c r="C74" s="142">
        <v>783</v>
      </c>
      <c r="D74" s="142"/>
      <c r="E74" s="142">
        <v>1036</v>
      </c>
      <c r="F74" s="142">
        <v>768</v>
      </c>
      <c r="G74" s="142">
        <v>950</v>
      </c>
      <c r="H74" s="142">
        <v>563</v>
      </c>
      <c r="I74" s="142">
        <v>839</v>
      </c>
      <c r="J74" s="143">
        <v>664</v>
      </c>
      <c r="K74" s="142">
        <v>355</v>
      </c>
      <c r="L74" s="137">
        <v>179</v>
      </c>
      <c r="M74" s="136">
        <v>132</v>
      </c>
      <c r="N74" s="137">
        <v>313</v>
      </c>
      <c r="O74" s="153">
        <v>483</v>
      </c>
      <c r="P74" s="70">
        <v>479</v>
      </c>
      <c r="Q74" s="138">
        <v>471</v>
      </c>
      <c r="R74" s="70">
        <v>646</v>
      </c>
      <c r="S74" s="70">
        <v>1182</v>
      </c>
      <c r="T74" s="138">
        <v>1207</v>
      </c>
      <c r="U74" s="138">
        <v>1832.6</v>
      </c>
      <c r="V74" s="70">
        <v>2682.0840000000003</v>
      </c>
      <c r="W74" s="70">
        <v>2256</v>
      </c>
      <c r="X74" s="196">
        <v>2273</v>
      </c>
      <c r="Y74" s="239">
        <f t="shared" si="31"/>
        <v>3019.086</v>
      </c>
      <c r="Z74" s="239">
        <f t="shared" si="32"/>
        <v>3090.28</v>
      </c>
      <c r="AA74" s="239">
        <v>3271.78</v>
      </c>
      <c r="AB74" s="239">
        <v>2239.12</v>
      </c>
      <c r="AC74" s="239">
        <v>1213.35</v>
      </c>
      <c r="AD74" s="239">
        <v>3466.708</v>
      </c>
      <c r="AE74" s="239">
        <v>970.8399999999999</v>
      </c>
      <c r="AF74" s="239">
        <v>837.8140000000001</v>
      </c>
      <c r="AG74" s="239">
        <v>126</v>
      </c>
      <c r="AH74" s="239">
        <v>18</v>
      </c>
      <c r="AI74" s="239">
        <f>40+54</f>
        <v>94</v>
      </c>
      <c r="AJ74" s="239">
        <v>77</v>
      </c>
      <c r="AK74" s="239">
        <v>245</v>
      </c>
      <c r="AL74" s="239">
        <v>90</v>
      </c>
      <c r="AM74" s="239">
        <v>63</v>
      </c>
      <c r="AN74" s="239">
        <v>246</v>
      </c>
      <c r="AO74" s="239">
        <v>250</v>
      </c>
      <c r="AP74" s="239">
        <v>199</v>
      </c>
      <c r="AQ74" s="239">
        <f>285.6</f>
        <v>285.6</v>
      </c>
      <c r="AR74" s="239">
        <v>139</v>
      </c>
      <c r="AS74" s="239">
        <f t="shared" si="24"/>
        <v>1832.6</v>
      </c>
      <c r="AT74" s="239">
        <v>255.8</v>
      </c>
      <c r="AU74" s="239">
        <v>115</v>
      </c>
      <c r="AV74" s="239">
        <v>267</v>
      </c>
      <c r="AW74" s="239">
        <v>37</v>
      </c>
      <c r="AX74" s="239">
        <v>291.4</v>
      </c>
      <c r="AY74" s="239">
        <v>414.684</v>
      </c>
      <c r="AZ74" s="239">
        <v>256.2</v>
      </c>
      <c r="BA74" s="239">
        <v>233.1</v>
      </c>
      <c r="BB74" s="239">
        <v>80</v>
      </c>
      <c r="BC74" s="239">
        <v>243</v>
      </c>
      <c r="BD74" s="239">
        <v>315.9</v>
      </c>
      <c r="BE74" s="239">
        <v>173</v>
      </c>
      <c r="BF74" s="239">
        <f t="shared" si="25"/>
        <v>2682.0840000000003</v>
      </c>
      <c r="BG74" s="239">
        <v>230</v>
      </c>
      <c r="BH74" s="239">
        <v>90.5</v>
      </c>
      <c r="BI74" s="239">
        <v>245.8</v>
      </c>
      <c r="BJ74" s="239">
        <v>468</v>
      </c>
      <c r="BK74" s="239">
        <v>140.6</v>
      </c>
      <c r="BL74" s="239">
        <v>424</v>
      </c>
      <c r="BM74" s="239">
        <f>65+27.6</f>
        <v>92.6</v>
      </c>
      <c r="BN74" s="239">
        <v>134.8</v>
      </c>
      <c r="BO74" s="239">
        <v>223</v>
      </c>
      <c r="BP74" s="239">
        <v>106.8</v>
      </c>
      <c r="BQ74" s="239">
        <v>56.5</v>
      </c>
      <c r="BR74" s="239">
        <v>70.7</v>
      </c>
      <c r="BS74" s="239">
        <f t="shared" si="21"/>
        <v>2283.2999999999997</v>
      </c>
      <c r="BT74" s="239">
        <f t="shared" si="33"/>
        <v>2283.2999999999997</v>
      </c>
      <c r="BU74" s="239">
        <v>250</v>
      </c>
      <c r="BV74" s="239" t="s">
        <v>14</v>
      </c>
      <c r="BW74" s="239">
        <f>28+104+52+48+6</f>
        <v>238</v>
      </c>
      <c r="BX74" s="239">
        <v>188</v>
      </c>
      <c r="BY74" s="239">
        <v>159</v>
      </c>
      <c r="BZ74" s="239">
        <v>348</v>
      </c>
      <c r="CA74" s="239">
        <v>175</v>
      </c>
      <c r="CB74" s="239">
        <v>112</v>
      </c>
      <c r="CC74" s="239">
        <f>144+22.6+28+14.4+5+72</f>
        <v>286</v>
      </c>
      <c r="CD74" s="239">
        <v>35</v>
      </c>
      <c r="CE74" s="239">
        <v>252</v>
      </c>
      <c r="CF74" s="239">
        <v>230</v>
      </c>
      <c r="CG74" s="239">
        <f t="shared" si="26"/>
        <v>2273</v>
      </c>
      <c r="CH74" s="239">
        <v>265</v>
      </c>
      <c r="CI74" s="239">
        <v>445</v>
      </c>
      <c r="CJ74" s="239">
        <v>222</v>
      </c>
      <c r="CK74" s="239">
        <v>268</v>
      </c>
      <c r="CL74" s="239">
        <f>144+40</f>
        <v>184</v>
      </c>
      <c r="CM74" s="239">
        <v>219.2</v>
      </c>
      <c r="CN74" s="239">
        <v>156</v>
      </c>
      <c r="CO74" s="239">
        <v>376</v>
      </c>
      <c r="CP74" s="239">
        <v>163.215</v>
      </c>
      <c r="CQ74" s="239">
        <v>136.671</v>
      </c>
      <c r="CR74" s="239">
        <v>132</v>
      </c>
      <c r="CS74" s="239">
        <v>452</v>
      </c>
      <c r="CT74" s="239">
        <f t="shared" si="34"/>
        <v>3019.086</v>
      </c>
      <c r="CU74" s="239">
        <v>45</v>
      </c>
      <c r="CV74" s="239">
        <v>348</v>
      </c>
      <c r="CW74" s="239">
        <v>217</v>
      </c>
      <c r="CX74" s="239">
        <v>281.2</v>
      </c>
      <c r="CY74" s="239">
        <v>331.5</v>
      </c>
      <c r="CZ74" s="239">
        <v>119.2</v>
      </c>
      <c r="DA74" s="239">
        <v>293.8</v>
      </c>
      <c r="DB74" s="239">
        <v>302.5</v>
      </c>
      <c r="DC74" s="239">
        <v>327.6</v>
      </c>
      <c r="DD74" s="239">
        <v>286.62</v>
      </c>
      <c r="DE74" s="239">
        <v>247.86</v>
      </c>
      <c r="DF74" s="239">
        <v>290</v>
      </c>
      <c r="DG74" s="239">
        <f t="shared" si="35"/>
        <v>3090.28</v>
      </c>
      <c r="DH74" s="239">
        <v>320.02</v>
      </c>
      <c r="DI74" s="239">
        <v>309</v>
      </c>
      <c r="DJ74" s="239">
        <v>216.96</v>
      </c>
      <c r="DK74" s="239">
        <v>350.9</v>
      </c>
      <c r="DL74" s="239">
        <v>410.8</v>
      </c>
      <c r="DM74" s="239">
        <v>316.5</v>
      </c>
      <c r="DN74" s="239">
        <v>347</v>
      </c>
      <c r="DO74" s="239">
        <v>204</v>
      </c>
      <c r="DP74" s="239">
        <v>162</v>
      </c>
      <c r="DQ74" s="239">
        <v>61</v>
      </c>
      <c r="DR74" s="239">
        <v>165</v>
      </c>
      <c r="DS74" s="239">
        <v>408.6</v>
      </c>
      <c r="DT74" s="239">
        <f t="shared" si="27"/>
        <v>3271.78</v>
      </c>
      <c r="DU74" s="239">
        <v>143.5</v>
      </c>
      <c r="DV74" s="239">
        <v>171.2</v>
      </c>
      <c r="DW74" s="239">
        <v>189</v>
      </c>
      <c r="DX74" s="239">
        <v>179</v>
      </c>
      <c r="DY74" s="239">
        <v>180</v>
      </c>
      <c r="DZ74" s="239">
        <v>122.4</v>
      </c>
      <c r="EA74" s="239">
        <v>150.9</v>
      </c>
      <c r="EB74" s="239">
        <v>439.25</v>
      </c>
      <c r="EC74" s="239">
        <v>96.3</v>
      </c>
      <c r="ED74" s="239">
        <v>233.52</v>
      </c>
      <c r="EE74" s="239">
        <v>223.9</v>
      </c>
      <c r="EF74" s="239">
        <v>110.15</v>
      </c>
      <c r="EG74" s="239">
        <f t="shared" si="22"/>
        <v>2239.12</v>
      </c>
      <c r="EH74" s="239">
        <v>306.4</v>
      </c>
      <c r="EI74" s="239">
        <v>113.55</v>
      </c>
      <c r="EJ74" s="239">
        <v>111.1</v>
      </c>
      <c r="EK74" s="239">
        <v>60.15</v>
      </c>
      <c r="EL74" s="239">
        <v>58.15</v>
      </c>
      <c r="EM74" s="239">
        <v>45.3</v>
      </c>
      <c r="EN74" s="239">
        <v>62.75</v>
      </c>
      <c r="EO74" s="239">
        <v>125.65</v>
      </c>
      <c r="EP74" s="239">
        <v>80.55</v>
      </c>
      <c r="EQ74" s="239">
        <v>100</v>
      </c>
      <c r="ER74" s="239">
        <v>55.8</v>
      </c>
      <c r="ES74" s="239">
        <v>93.95</v>
      </c>
      <c r="ET74" s="239">
        <f t="shared" si="28"/>
        <v>2239.12</v>
      </c>
      <c r="EU74" s="239">
        <f t="shared" si="23"/>
        <v>1213.35</v>
      </c>
      <c r="EV74" s="239">
        <v>149.8</v>
      </c>
      <c r="EW74" s="239">
        <v>153.05</v>
      </c>
      <c r="EX74" s="239">
        <v>338.4</v>
      </c>
      <c r="EY74" s="239">
        <v>403.977</v>
      </c>
      <c r="EZ74" s="239">
        <v>192</v>
      </c>
      <c r="FA74" s="239">
        <v>266.871</v>
      </c>
      <c r="FB74" s="239">
        <v>285.5</v>
      </c>
      <c r="FC74" s="239">
        <v>408.25</v>
      </c>
      <c r="FD74" s="239">
        <v>476.75</v>
      </c>
      <c r="FE74" s="239">
        <v>317.7</v>
      </c>
      <c r="FF74" s="239">
        <v>199.8</v>
      </c>
      <c r="FG74" s="287">
        <v>274.61</v>
      </c>
      <c r="FH74" s="239">
        <v>258.19</v>
      </c>
      <c r="FI74" s="239">
        <v>160.45</v>
      </c>
      <c r="FJ74" s="239">
        <v>54</v>
      </c>
      <c r="FK74" s="239">
        <v>6</v>
      </c>
      <c r="FL74" s="239">
        <v>31</v>
      </c>
      <c r="FM74" s="239">
        <v>34</v>
      </c>
      <c r="FN74" s="239">
        <v>41</v>
      </c>
      <c r="FO74" s="239">
        <v>50.3</v>
      </c>
      <c r="FP74" s="239">
        <v>88.4</v>
      </c>
      <c r="FQ74" s="239">
        <v>59.25</v>
      </c>
      <c r="FR74" s="239">
        <v>103.55</v>
      </c>
      <c r="FS74" s="239">
        <v>84.7</v>
      </c>
      <c r="FT74" s="239">
        <v>41.25</v>
      </c>
      <c r="FU74" s="239">
        <v>61.444</v>
      </c>
      <c r="FV74" s="239">
        <v>137.85</v>
      </c>
      <c r="FW74" s="239">
        <v>27</v>
      </c>
      <c r="FX74" s="239">
        <v>107</v>
      </c>
      <c r="FY74" s="239">
        <v>36.6</v>
      </c>
      <c r="FZ74" s="239">
        <v>45.2</v>
      </c>
      <c r="GA74" s="239">
        <v>66.05</v>
      </c>
      <c r="GB74" s="239">
        <v>86.6</v>
      </c>
      <c r="GC74" s="239">
        <v>12.75</v>
      </c>
      <c r="GD74" s="239">
        <v>88.11</v>
      </c>
      <c r="GE74" s="239">
        <v>127.96</v>
      </c>
      <c r="GF74" s="239">
        <v>121.39</v>
      </c>
      <c r="GG74" s="239">
        <v>70</v>
      </c>
      <c r="GH74" s="239">
        <v>113.8</v>
      </c>
      <c r="GI74" s="239">
        <v>169.65</v>
      </c>
      <c r="GJ74" s="239"/>
      <c r="GK74" s="239"/>
      <c r="GL74" s="239"/>
      <c r="GM74" s="239"/>
      <c r="GN74" s="239"/>
      <c r="GO74" s="239"/>
      <c r="GP74" s="239"/>
      <c r="GQ74" s="239"/>
      <c r="GR74" s="239">
        <f t="shared" si="29"/>
        <v>267.544</v>
      </c>
      <c r="GS74" s="239">
        <f t="shared" si="30"/>
        <v>474.84000000000003</v>
      </c>
    </row>
    <row r="75" spans="1:201" ht="15.75">
      <c r="A75" s="31" t="s">
        <v>47</v>
      </c>
      <c r="B75" s="31" t="s">
        <v>48</v>
      </c>
      <c r="C75" s="142">
        <v>88</v>
      </c>
      <c r="D75" s="142"/>
      <c r="E75" s="142">
        <v>246</v>
      </c>
      <c r="F75" s="142">
        <v>9</v>
      </c>
      <c r="G75" s="142">
        <v>17</v>
      </c>
      <c r="H75" s="142">
        <v>6</v>
      </c>
      <c r="I75" s="142">
        <v>12</v>
      </c>
      <c r="J75" s="143">
        <v>150</v>
      </c>
      <c r="K75" s="142">
        <v>44</v>
      </c>
      <c r="L75" s="137">
        <v>10</v>
      </c>
      <c r="M75" s="136" t="s">
        <v>14</v>
      </c>
      <c r="N75" s="137" t="s">
        <v>14</v>
      </c>
      <c r="O75" s="153">
        <v>81</v>
      </c>
      <c r="P75" s="70" t="s">
        <v>14</v>
      </c>
      <c r="Q75" s="138">
        <v>1</v>
      </c>
      <c r="R75" s="70">
        <v>6</v>
      </c>
      <c r="S75" s="70">
        <v>10</v>
      </c>
      <c r="T75" s="138">
        <v>1</v>
      </c>
      <c r="U75" s="138">
        <v>1.2</v>
      </c>
      <c r="V75" s="70" t="s">
        <v>14</v>
      </c>
      <c r="W75" s="70" t="s">
        <v>14</v>
      </c>
      <c r="X75" s="196">
        <v>1107</v>
      </c>
      <c r="Y75" s="239">
        <f t="shared" si="31"/>
        <v>78.453</v>
      </c>
      <c r="Z75" s="239">
        <f t="shared" si="32"/>
        <v>80.96000000000001</v>
      </c>
      <c r="AA75" s="239">
        <v>308.659</v>
      </c>
      <c r="AB75" s="239">
        <v>21.235</v>
      </c>
      <c r="AC75" s="239">
        <v>96.231</v>
      </c>
      <c r="AD75" s="239">
        <v>323.099</v>
      </c>
      <c r="AE75" s="239">
        <v>1338.917</v>
      </c>
      <c r="AF75" s="239">
        <v>396.62100000000004</v>
      </c>
      <c r="AG75" s="239" t="s">
        <v>14</v>
      </c>
      <c r="AH75" s="239"/>
      <c r="AI75" s="239"/>
      <c r="AJ75" s="239"/>
      <c r="AK75" s="239"/>
      <c r="AL75" s="239">
        <v>1</v>
      </c>
      <c r="AM75" s="239">
        <v>0.2</v>
      </c>
      <c r="AN75" s="239">
        <v>0</v>
      </c>
      <c r="AO75" s="239">
        <v>0</v>
      </c>
      <c r="AP75" s="239">
        <v>0</v>
      </c>
      <c r="AQ75" s="239"/>
      <c r="AR75" s="239"/>
      <c r="AS75" s="239">
        <f t="shared" si="24"/>
        <v>1.2</v>
      </c>
      <c r="AT75" s="239"/>
      <c r="AU75" s="239"/>
      <c r="AV75" s="239"/>
      <c r="AW75" s="239"/>
      <c r="AX75" s="239"/>
      <c r="AY75" s="239"/>
      <c r="AZ75" s="239"/>
      <c r="BA75" s="239"/>
      <c r="BB75" s="239"/>
      <c r="BC75" s="239"/>
      <c r="BD75" s="239"/>
      <c r="BE75" s="239"/>
      <c r="BF75" s="239">
        <f t="shared" si="25"/>
        <v>0</v>
      </c>
      <c r="BG75" s="239"/>
      <c r="BH75" s="239"/>
      <c r="BI75" s="239"/>
      <c r="BJ75" s="239"/>
      <c r="BK75" s="239"/>
      <c r="BL75" s="239"/>
      <c r="BM75" s="239"/>
      <c r="BN75" s="239"/>
      <c r="BO75" s="239"/>
      <c r="BP75" s="239"/>
      <c r="BQ75" s="239">
        <v>0</v>
      </c>
      <c r="BR75" s="239">
        <v>0</v>
      </c>
      <c r="BS75" s="239">
        <f t="shared" si="21"/>
        <v>0</v>
      </c>
      <c r="BT75" s="239" t="s">
        <v>14</v>
      </c>
      <c r="BU75" s="239">
        <v>23</v>
      </c>
      <c r="BV75" s="239" t="s">
        <v>14</v>
      </c>
      <c r="BW75" s="239"/>
      <c r="BX75" s="239">
        <f>80-25</f>
        <v>55</v>
      </c>
      <c r="BY75" s="239">
        <v>50</v>
      </c>
      <c r="BZ75" s="239">
        <v>80</v>
      </c>
      <c r="CA75" s="239">
        <v>83</v>
      </c>
      <c r="CB75" s="239">
        <v>20</v>
      </c>
      <c r="CC75" s="239">
        <v>277</v>
      </c>
      <c r="CD75" s="239">
        <v>508</v>
      </c>
      <c r="CE75" s="239">
        <v>0</v>
      </c>
      <c r="CF75" s="239">
        <v>11</v>
      </c>
      <c r="CG75" s="239">
        <f t="shared" si="26"/>
        <v>1107</v>
      </c>
      <c r="CH75" s="239" t="s">
        <v>14</v>
      </c>
      <c r="CI75" s="239"/>
      <c r="CJ75" s="239">
        <v>0</v>
      </c>
      <c r="CK75" s="239">
        <v>1</v>
      </c>
      <c r="CL75" s="239">
        <v>0</v>
      </c>
      <c r="CM75" s="239">
        <v>0</v>
      </c>
      <c r="CN75" s="239"/>
      <c r="CO75" s="239"/>
      <c r="CP75" s="239">
        <v>0.453</v>
      </c>
      <c r="CQ75" s="239">
        <v>32</v>
      </c>
      <c r="CR75" s="239">
        <v>0</v>
      </c>
      <c r="CS75" s="239">
        <v>45</v>
      </c>
      <c r="CT75" s="239">
        <f t="shared" si="34"/>
        <v>78.453</v>
      </c>
      <c r="CU75" s="239" t="s">
        <v>14</v>
      </c>
      <c r="CV75" s="239">
        <v>12</v>
      </c>
      <c r="CW75" s="239"/>
      <c r="CX75" s="239"/>
      <c r="CY75" s="239">
        <v>0.1</v>
      </c>
      <c r="CZ75" s="239">
        <v>20</v>
      </c>
      <c r="DA75" s="239">
        <v>13.2</v>
      </c>
      <c r="DB75" s="239">
        <v>13.23</v>
      </c>
      <c r="DC75" s="239">
        <v>0</v>
      </c>
      <c r="DD75" s="239">
        <v>16.23</v>
      </c>
      <c r="DE75" s="239">
        <v>0.2</v>
      </c>
      <c r="DF75" s="239">
        <v>6</v>
      </c>
      <c r="DG75" s="239">
        <f t="shared" si="35"/>
        <v>80.96000000000001</v>
      </c>
      <c r="DH75" s="239">
        <v>4</v>
      </c>
      <c r="DI75" s="239">
        <v>27.12</v>
      </c>
      <c r="DJ75" s="239">
        <v>0</v>
      </c>
      <c r="DK75" s="239">
        <v>0.7</v>
      </c>
      <c r="DL75" s="239">
        <v>27.259</v>
      </c>
      <c r="DM75" s="239">
        <v>0.9</v>
      </c>
      <c r="DN75" s="239">
        <v>10.6</v>
      </c>
      <c r="DO75" s="239">
        <v>0.82</v>
      </c>
      <c r="DP75" s="239">
        <v>5.4</v>
      </c>
      <c r="DQ75" s="239">
        <v>1.305</v>
      </c>
      <c r="DR75" s="239">
        <v>218.255</v>
      </c>
      <c r="DS75" s="239">
        <v>12.3</v>
      </c>
      <c r="DT75" s="239">
        <f t="shared" si="27"/>
        <v>308.659</v>
      </c>
      <c r="DU75" s="239"/>
      <c r="DV75" s="239"/>
      <c r="DW75" s="239">
        <v>0.8</v>
      </c>
      <c r="DX75" s="239">
        <v>6.5</v>
      </c>
      <c r="DY75" s="239">
        <v>1.75</v>
      </c>
      <c r="DZ75" s="239">
        <v>0.72</v>
      </c>
      <c r="EA75" s="239">
        <v>1</v>
      </c>
      <c r="EB75" s="239">
        <v>0.65</v>
      </c>
      <c r="EC75" s="239">
        <v>1.2</v>
      </c>
      <c r="ED75" s="239">
        <v>6.17</v>
      </c>
      <c r="EE75" s="239">
        <v>1.7</v>
      </c>
      <c r="EF75" s="239">
        <v>0.745</v>
      </c>
      <c r="EG75" s="239">
        <f t="shared" si="22"/>
        <v>21.235</v>
      </c>
      <c r="EH75" s="239">
        <v>0.275</v>
      </c>
      <c r="EI75" s="239">
        <v>4.098</v>
      </c>
      <c r="EJ75" s="239">
        <v>2.5</v>
      </c>
      <c r="EK75" s="239">
        <v>3.8</v>
      </c>
      <c r="EL75" s="239">
        <v>9.8</v>
      </c>
      <c r="EM75" s="239">
        <v>10.8</v>
      </c>
      <c r="EN75" s="239">
        <v>3.26</v>
      </c>
      <c r="EO75" s="239">
        <v>2.8</v>
      </c>
      <c r="EP75" s="239">
        <v>12.55</v>
      </c>
      <c r="EQ75" s="239">
        <v>10.86</v>
      </c>
      <c r="ER75" s="239">
        <v>3.738</v>
      </c>
      <c r="ES75" s="239">
        <v>31.75</v>
      </c>
      <c r="ET75" s="239">
        <f t="shared" si="28"/>
        <v>21.235</v>
      </c>
      <c r="EU75" s="239">
        <f t="shared" si="23"/>
        <v>96.231</v>
      </c>
      <c r="EV75" s="239">
        <v>0.5</v>
      </c>
      <c r="EW75" s="239">
        <v>0.75</v>
      </c>
      <c r="EX75" s="239">
        <v>1.45</v>
      </c>
      <c r="EY75" s="239">
        <v>1.682</v>
      </c>
      <c r="EZ75" s="239">
        <v>3.2</v>
      </c>
      <c r="FA75" s="239">
        <v>18.36</v>
      </c>
      <c r="FB75" s="239">
        <v>8.425</v>
      </c>
      <c r="FC75" s="239">
        <v>8.82</v>
      </c>
      <c r="FD75" s="239">
        <v>57.355</v>
      </c>
      <c r="FE75" s="239">
        <v>12.007</v>
      </c>
      <c r="FF75" s="239">
        <v>100</v>
      </c>
      <c r="FG75" s="287">
        <v>110.55</v>
      </c>
      <c r="FH75" s="239">
        <v>362.727</v>
      </c>
      <c r="FI75" s="239">
        <v>135.565</v>
      </c>
      <c r="FJ75" s="239">
        <v>124.46</v>
      </c>
      <c r="FK75" s="239">
        <v>5.935</v>
      </c>
      <c r="FL75" s="239">
        <v>20.5</v>
      </c>
      <c r="FM75" s="239">
        <v>37.86</v>
      </c>
      <c r="FN75" s="239">
        <v>141.1</v>
      </c>
      <c r="FO75" s="239">
        <v>82.75</v>
      </c>
      <c r="FP75" s="239">
        <v>98.7</v>
      </c>
      <c r="FQ75" s="239">
        <v>63.5</v>
      </c>
      <c r="FR75" s="239">
        <v>127.5</v>
      </c>
      <c r="FS75" s="239">
        <v>138.32000000000002</v>
      </c>
      <c r="FT75" s="239">
        <v>79.1</v>
      </c>
      <c r="FU75" s="239">
        <v>61</v>
      </c>
      <c r="FV75" s="239">
        <v>70</v>
      </c>
      <c r="FW75" s="239">
        <v>60.01</v>
      </c>
      <c r="FX75" s="239">
        <v>120.087</v>
      </c>
      <c r="FY75" s="239">
        <v>0.56</v>
      </c>
      <c r="FZ75" s="239">
        <v>0.175</v>
      </c>
      <c r="GA75" s="239">
        <v>3.25</v>
      </c>
      <c r="GB75" s="239">
        <v>0.48</v>
      </c>
      <c r="GC75" s="239">
        <v>0.104</v>
      </c>
      <c r="GD75" s="239">
        <v>1.135</v>
      </c>
      <c r="GE75" s="239">
        <v>0.72</v>
      </c>
      <c r="GF75" s="239">
        <v>1.25</v>
      </c>
      <c r="GG75" s="239">
        <v>0</v>
      </c>
      <c r="GH75" s="239">
        <v>0</v>
      </c>
      <c r="GI75" s="239">
        <v>0</v>
      </c>
      <c r="GJ75" s="239"/>
      <c r="GK75" s="239"/>
      <c r="GL75" s="239"/>
      <c r="GM75" s="239"/>
      <c r="GN75" s="239"/>
      <c r="GO75" s="239"/>
      <c r="GP75" s="239"/>
      <c r="GQ75" s="239"/>
      <c r="GR75" s="239">
        <f t="shared" si="29"/>
        <v>270.11</v>
      </c>
      <c r="GS75" s="239">
        <f t="shared" si="30"/>
        <v>1.25</v>
      </c>
    </row>
    <row r="76" spans="1:201" ht="15.75">
      <c r="A76" s="31" t="s">
        <v>89</v>
      </c>
      <c r="B76" s="31" t="s">
        <v>92</v>
      </c>
      <c r="C76" s="142"/>
      <c r="D76" s="142"/>
      <c r="E76" s="142"/>
      <c r="F76" s="142"/>
      <c r="G76" s="142"/>
      <c r="H76" s="142"/>
      <c r="I76" s="142"/>
      <c r="J76" s="143"/>
      <c r="K76" s="142"/>
      <c r="L76" s="137"/>
      <c r="M76" s="136"/>
      <c r="N76" s="137"/>
      <c r="O76" s="153"/>
      <c r="P76" s="70"/>
      <c r="Q76" s="138"/>
      <c r="R76" s="70" t="s">
        <v>14</v>
      </c>
      <c r="S76" s="70"/>
      <c r="T76" s="138">
        <v>2300</v>
      </c>
      <c r="U76" s="138"/>
      <c r="V76" s="70">
        <v>1125</v>
      </c>
      <c r="W76" s="70">
        <v>720</v>
      </c>
      <c r="X76" s="196">
        <v>1793.5</v>
      </c>
      <c r="Y76" s="239">
        <f t="shared" si="31"/>
        <v>860</v>
      </c>
      <c r="Z76" s="239">
        <f t="shared" si="32"/>
        <v>164</v>
      </c>
      <c r="AA76" s="239" t="s">
        <v>14</v>
      </c>
      <c r="AB76" s="239">
        <v>856.19</v>
      </c>
      <c r="AC76" s="239">
        <v>58.464</v>
      </c>
      <c r="AD76" s="239">
        <v>33</v>
      </c>
      <c r="AE76" s="239">
        <v>30</v>
      </c>
      <c r="AF76" s="239">
        <v>17.672</v>
      </c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>
        <v>25</v>
      </c>
      <c r="BC76" s="239">
        <v>1025</v>
      </c>
      <c r="BD76" s="239">
        <v>25</v>
      </c>
      <c r="BE76" s="239">
        <v>50</v>
      </c>
      <c r="BF76" s="239">
        <f t="shared" si="25"/>
        <v>1125</v>
      </c>
      <c r="BG76" s="239"/>
      <c r="BH76" s="239">
        <v>19.7</v>
      </c>
      <c r="BI76" s="239"/>
      <c r="BJ76" s="239"/>
      <c r="BK76" s="239"/>
      <c r="BL76" s="239"/>
      <c r="BM76" s="239"/>
      <c r="BN76" s="239">
        <v>600</v>
      </c>
      <c r="BO76" s="239">
        <v>100</v>
      </c>
      <c r="BP76" s="239">
        <v>0</v>
      </c>
      <c r="BQ76" s="239">
        <v>0</v>
      </c>
      <c r="BR76" s="239">
        <v>0</v>
      </c>
      <c r="BS76" s="239">
        <f t="shared" si="21"/>
        <v>719.7</v>
      </c>
      <c r="BT76" s="239">
        <f t="shared" si="33"/>
        <v>719.7</v>
      </c>
      <c r="BU76" s="239" t="s">
        <v>14</v>
      </c>
      <c r="BV76" s="239">
        <v>743.5</v>
      </c>
      <c r="BW76" s="239"/>
      <c r="BX76" s="239"/>
      <c r="BY76" s="239"/>
      <c r="BZ76" s="239">
        <v>0</v>
      </c>
      <c r="CA76" s="239"/>
      <c r="CB76" s="239">
        <v>1000</v>
      </c>
      <c r="CC76" s="239">
        <v>50</v>
      </c>
      <c r="CD76" s="239">
        <v>0</v>
      </c>
      <c r="CE76" s="239">
        <v>0</v>
      </c>
      <c r="CF76" s="239"/>
      <c r="CG76" s="239">
        <f t="shared" si="26"/>
        <v>1793.5</v>
      </c>
      <c r="CH76" s="239" t="s">
        <v>14</v>
      </c>
      <c r="CI76" s="239"/>
      <c r="CJ76" s="239">
        <v>0</v>
      </c>
      <c r="CK76" s="239">
        <v>0</v>
      </c>
      <c r="CL76" s="239">
        <v>0</v>
      </c>
      <c r="CM76" s="239">
        <v>0</v>
      </c>
      <c r="CN76" s="239">
        <v>840</v>
      </c>
      <c r="CO76" s="239">
        <v>20</v>
      </c>
      <c r="CP76" s="239">
        <v>0</v>
      </c>
      <c r="CQ76" s="239">
        <v>0</v>
      </c>
      <c r="CR76" s="239">
        <v>0</v>
      </c>
      <c r="CS76" s="239">
        <v>0</v>
      </c>
      <c r="CT76" s="239">
        <f t="shared" si="34"/>
        <v>860</v>
      </c>
      <c r="CU76" s="239" t="s">
        <v>14</v>
      </c>
      <c r="CV76" s="239">
        <v>14</v>
      </c>
      <c r="CW76" s="239"/>
      <c r="CX76" s="239"/>
      <c r="CY76" s="239">
        <v>0</v>
      </c>
      <c r="CZ76" s="239">
        <v>0</v>
      </c>
      <c r="DA76" s="239">
        <v>0</v>
      </c>
      <c r="DB76" s="239">
        <v>150</v>
      </c>
      <c r="DC76" s="239">
        <v>0</v>
      </c>
      <c r="DD76" s="239" t="s">
        <v>14</v>
      </c>
      <c r="DE76" s="239">
        <v>0</v>
      </c>
      <c r="DF76" s="239">
        <v>0</v>
      </c>
      <c r="DG76" s="239">
        <f t="shared" si="35"/>
        <v>164</v>
      </c>
      <c r="DH76" s="239" t="s">
        <v>14</v>
      </c>
      <c r="DI76" s="239" t="s">
        <v>14</v>
      </c>
      <c r="DJ76" s="239">
        <v>0</v>
      </c>
      <c r="DK76" s="239">
        <v>0</v>
      </c>
      <c r="DL76" s="239"/>
      <c r="DM76" s="239"/>
      <c r="DN76" s="239"/>
      <c r="DO76" s="239">
        <v>0</v>
      </c>
      <c r="DP76" s="239"/>
      <c r="DQ76" s="239">
        <v>0</v>
      </c>
      <c r="DR76" s="239">
        <v>0</v>
      </c>
      <c r="DS76" s="239">
        <v>0</v>
      </c>
      <c r="DT76" s="239">
        <f t="shared" si="27"/>
        <v>0</v>
      </c>
      <c r="DU76" s="239"/>
      <c r="DV76" s="239"/>
      <c r="DW76" s="239"/>
      <c r="DX76" s="239"/>
      <c r="DY76" s="239">
        <v>11.19</v>
      </c>
      <c r="DZ76" s="239"/>
      <c r="EA76" s="239"/>
      <c r="EB76" s="239"/>
      <c r="EC76" s="239"/>
      <c r="ED76" s="239">
        <v>800</v>
      </c>
      <c r="EE76" s="239">
        <v>20</v>
      </c>
      <c r="EF76" s="239">
        <v>25</v>
      </c>
      <c r="EG76" s="239">
        <f t="shared" si="22"/>
        <v>856.19</v>
      </c>
      <c r="EH76" s="239"/>
      <c r="EI76" s="239">
        <v>13</v>
      </c>
      <c r="EJ76" s="239">
        <v>5.464</v>
      </c>
      <c r="EK76" s="239"/>
      <c r="EL76" s="239">
        <v>20</v>
      </c>
      <c r="EM76" s="239"/>
      <c r="EN76" s="239"/>
      <c r="EO76" s="239"/>
      <c r="EP76" s="239"/>
      <c r="EQ76" s="239"/>
      <c r="ER76" s="239"/>
      <c r="ES76" s="239">
        <v>20</v>
      </c>
      <c r="ET76" s="239">
        <f t="shared" si="28"/>
        <v>856.19</v>
      </c>
      <c r="EU76" s="239">
        <f t="shared" si="23"/>
        <v>58.464</v>
      </c>
      <c r="EV76" s="239"/>
      <c r="EW76" s="239"/>
      <c r="EX76" s="239">
        <v>13</v>
      </c>
      <c r="EY76" s="239"/>
      <c r="EZ76" s="239"/>
      <c r="FA76" s="239"/>
      <c r="FB76" s="239">
        <v>20</v>
      </c>
      <c r="FC76" s="239"/>
      <c r="FD76" s="239"/>
      <c r="FE76" s="239"/>
      <c r="FF76" s="239"/>
      <c r="FG76" s="287"/>
      <c r="FH76" s="239">
        <v>10</v>
      </c>
      <c r="FI76" s="239"/>
      <c r="FJ76" s="239"/>
      <c r="FK76" s="239"/>
      <c r="FL76" s="239"/>
      <c r="FM76" s="239"/>
      <c r="FN76" s="239">
        <v>20</v>
      </c>
      <c r="FO76" s="239"/>
      <c r="FP76" s="239"/>
      <c r="FQ76" s="239"/>
      <c r="FR76" s="239"/>
      <c r="FS76" s="239"/>
      <c r="FT76" s="239">
        <v>3.248</v>
      </c>
      <c r="FU76" s="239"/>
      <c r="FV76" s="239"/>
      <c r="FW76" s="239">
        <v>0</v>
      </c>
      <c r="FX76" s="239">
        <v>6.424</v>
      </c>
      <c r="FY76" s="239">
        <v>0</v>
      </c>
      <c r="FZ76" s="239"/>
      <c r="GA76" s="239">
        <v>4</v>
      </c>
      <c r="GB76" s="239"/>
      <c r="GC76" s="239"/>
      <c r="GD76" s="239">
        <v>4</v>
      </c>
      <c r="GE76" s="239"/>
      <c r="GF76" s="239">
        <v>2</v>
      </c>
      <c r="GG76" s="239">
        <v>23</v>
      </c>
      <c r="GH76" s="239">
        <v>0</v>
      </c>
      <c r="GI76" s="239">
        <v>2</v>
      </c>
      <c r="GJ76" s="239"/>
      <c r="GK76" s="239"/>
      <c r="GL76" s="239"/>
      <c r="GM76" s="239"/>
      <c r="GN76" s="239"/>
      <c r="GO76" s="239"/>
      <c r="GP76" s="239"/>
      <c r="GQ76" s="239"/>
      <c r="GR76" s="239">
        <f t="shared" si="29"/>
        <v>3.248</v>
      </c>
      <c r="GS76" s="239">
        <f t="shared" si="30"/>
        <v>27</v>
      </c>
    </row>
    <row r="77" spans="1:201" ht="14.25" customHeight="1">
      <c r="A77" s="31" t="s">
        <v>69</v>
      </c>
      <c r="B77" s="31" t="s">
        <v>49</v>
      </c>
      <c r="C77" s="142">
        <v>210</v>
      </c>
      <c r="D77" s="142"/>
      <c r="E77" s="142">
        <v>12</v>
      </c>
      <c r="F77" s="142">
        <v>148</v>
      </c>
      <c r="G77" s="142">
        <v>210</v>
      </c>
      <c r="H77" s="142">
        <v>451</v>
      </c>
      <c r="I77" s="142">
        <v>305</v>
      </c>
      <c r="J77" s="143">
        <v>1</v>
      </c>
      <c r="K77" s="142">
        <v>4</v>
      </c>
      <c r="L77" s="137">
        <v>11</v>
      </c>
      <c r="M77" s="136" t="s">
        <v>14</v>
      </c>
      <c r="N77" s="137">
        <v>2</v>
      </c>
      <c r="O77" s="153">
        <v>4</v>
      </c>
      <c r="P77" s="70" t="s">
        <v>14</v>
      </c>
      <c r="Q77" s="70" t="s">
        <v>14</v>
      </c>
      <c r="R77" s="70">
        <v>5</v>
      </c>
      <c r="S77" s="70">
        <v>18</v>
      </c>
      <c r="T77" s="138">
        <v>31</v>
      </c>
      <c r="U77" s="138">
        <v>26</v>
      </c>
      <c r="V77" s="70">
        <v>1.217</v>
      </c>
      <c r="W77" s="70" t="s">
        <v>14</v>
      </c>
      <c r="X77" s="196">
        <v>3</v>
      </c>
      <c r="Y77" s="239">
        <f t="shared" si="31"/>
        <v>0</v>
      </c>
      <c r="Z77" s="239" t="s">
        <v>14</v>
      </c>
      <c r="AA77" s="239" t="s">
        <v>14</v>
      </c>
      <c r="AB77" s="239">
        <v>56.730000000000004</v>
      </c>
      <c r="AC77" s="239">
        <v>32.24</v>
      </c>
      <c r="AD77" s="239">
        <v>0</v>
      </c>
      <c r="AE77" s="239">
        <v>7.2</v>
      </c>
      <c r="AF77" s="239">
        <v>3.166</v>
      </c>
      <c r="AG77" s="239">
        <v>2</v>
      </c>
      <c r="AH77" s="239"/>
      <c r="AI77" s="239">
        <f>2+2+3</f>
        <v>7</v>
      </c>
      <c r="AJ77" s="239">
        <v>2</v>
      </c>
      <c r="AK77" s="239"/>
      <c r="AL77" s="239">
        <v>2</v>
      </c>
      <c r="AM77" s="239">
        <v>0</v>
      </c>
      <c r="AN77" s="239">
        <v>0</v>
      </c>
      <c r="AO77" s="239">
        <v>10</v>
      </c>
      <c r="AP77" s="239">
        <v>2</v>
      </c>
      <c r="AQ77" s="239">
        <v>1</v>
      </c>
      <c r="AR77" s="239"/>
      <c r="AS77" s="239">
        <f t="shared" si="24"/>
        <v>26</v>
      </c>
      <c r="AT77" s="239"/>
      <c r="AU77" s="239">
        <v>0.949</v>
      </c>
      <c r="AV77" s="239"/>
      <c r="AW77" s="239"/>
      <c r="AX77" s="239"/>
      <c r="AY77" s="239"/>
      <c r="AZ77" s="239"/>
      <c r="BA77" s="239"/>
      <c r="BB77" s="239"/>
      <c r="BC77" s="239"/>
      <c r="BD77" s="239">
        <v>0.268</v>
      </c>
      <c r="BE77" s="239"/>
      <c r="BF77" s="239">
        <f t="shared" si="25"/>
        <v>1.217</v>
      </c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>
        <v>0</v>
      </c>
      <c r="BR77" s="239">
        <v>0</v>
      </c>
      <c r="BS77" s="239">
        <f t="shared" si="21"/>
        <v>0</v>
      </c>
      <c r="BT77" s="239" t="s">
        <v>14</v>
      </c>
      <c r="BU77" s="239" t="s">
        <v>14</v>
      </c>
      <c r="BV77" s="239" t="s">
        <v>63</v>
      </c>
      <c r="BW77" s="239"/>
      <c r="BX77" s="239"/>
      <c r="BY77" s="239"/>
      <c r="BZ77" s="239">
        <v>2</v>
      </c>
      <c r="CA77" s="239">
        <v>1</v>
      </c>
      <c r="CB77" s="239"/>
      <c r="CC77" s="239">
        <v>0</v>
      </c>
      <c r="CD77" s="239">
        <v>0</v>
      </c>
      <c r="CE77" s="239">
        <v>0</v>
      </c>
      <c r="CF77" s="239"/>
      <c r="CG77" s="239">
        <f t="shared" si="26"/>
        <v>3</v>
      </c>
      <c r="CH77" s="239" t="s">
        <v>14</v>
      </c>
      <c r="CI77" s="239"/>
      <c r="CJ77" s="239">
        <v>0</v>
      </c>
      <c r="CK77" s="239">
        <v>0</v>
      </c>
      <c r="CL77" s="239">
        <v>0</v>
      </c>
      <c r="CM77" s="239">
        <v>0</v>
      </c>
      <c r="CN77" s="239">
        <v>0</v>
      </c>
      <c r="CO77" s="239">
        <v>0</v>
      </c>
      <c r="CP77" s="239">
        <v>0</v>
      </c>
      <c r="CQ77" s="239">
        <v>0</v>
      </c>
      <c r="CR77" s="239">
        <v>0</v>
      </c>
      <c r="CS77" s="239">
        <v>0</v>
      </c>
      <c r="CT77" s="239" t="s">
        <v>14</v>
      </c>
      <c r="CU77" s="239" t="s">
        <v>14</v>
      </c>
      <c r="CV77" s="239" t="s">
        <v>14</v>
      </c>
      <c r="CW77" s="239"/>
      <c r="CX77" s="239"/>
      <c r="CY77" s="239">
        <v>0</v>
      </c>
      <c r="CZ77" s="239">
        <v>0</v>
      </c>
      <c r="DA77" s="239">
        <v>0</v>
      </c>
      <c r="DB77" s="239">
        <v>0</v>
      </c>
      <c r="DC77" s="239">
        <v>0</v>
      </c>
      <c r="DD77" s="239" t="s">
        <v>14</v>
      </c>
      <c r="DE77" s="239">
        <v>0</v>
      </c>
      <c r="DF77" s="239">
        <v>0</v>
      </c>
      <c r="DG77" s="239" t="s">
        <v>14</v>
      </c>
      <c r="DH77" s="239" t="s">
        <v>14</v>
      </c>
      <c r="DI77" s="239" t="s">
        <v>14</v>
      </c>
      <c r="DJ77" s="239">
        <v>0</v>
      </c>
      <c r="DK77" s="239">
        <v>0</v>
      </c>
      <c r="DL77" s="239"/>
      <c r="DM77" s="239"/>
      <c r="DN77" s="239"/>
      <c r="DO77" s="239">
        <v>0</v>
      </c>
      <c r="DP77" s="239"/>
      <c r="DQ77" s="239">
        <v>0</v>
      </c>
      <c r="DR77" s="239">
        <v>0</v>
      </c>
      <c r="DS77" s="239">
        <v>0</v>
      </c>
      <c r="DT77" s="239">
        <f t="shared" si="27"/>
        <v>0</v>
      </c>
      <c r="DU77" s="239"/>
      <c r="DV77" s="239"/>
      <c r="DW77" s="239"/>
      <c r="DX77" s="239"/>
      <c r="DY77" s="239">
        <v>0.05</v>
      </c>
      <c r="DZ77" s="239"/>
      <c r="EA77" s="239"/>
      <c r="EB77" s="239"/>
      <c r="EC77" s="239">
        <v>0.08</v>
      </c>
      <c r="ED77" s="239"/>
      <c r="EE77" s="239"/>
      <c r="EF77" s="239">
        <v>56.6</v>
      </c>
      <c r="EG77" s="239">
        <f t="shared" si="22"/>
        <v>56.730000000000004</v>
      </c>
      <c r="EH77" s="239"/>
      <c r="EI77" s="239"/>
      <c r="EJ77" s="239"/>
      <c r="EK77" s="239"/>
      <c r="EL77" s="239">
        <v>0.279</v>
      </c>
      <c r="EM77" s="239">
        <v>1.516</v>
      </c>
      <c r="EN77" s="239"/>
      <c r="EO77" s="239">
        <v>4.954</v>
      </c>
      <c r="EP77" s="239"/>
      <c r="EQ77" s="239"/>
      <c r="ER77" s="239">
        <v>25.491</v>
      </c>
      <c r="ES77" s="239"/>
      <c r="ET77" s="239">
        <f t="shared" si="28"/>
        <v>56.730000000000004</v>
      </c>
      <c r="EU77" s="239">
        <f t="shared" si="23"/>
        <v>32.24</v>
      </c>
      <c r="EV77" s="239"/>
      <c r="EW77" s="239"/>
      <c r="EX77" s="239"/>
      <c r="EY77" s="239"/>
      <c r="EZ77" s="239"/>
      <c r="FA77" s="239"/>
      <c r="FB77" s="239"/>
      <c r="FC77" s="239"/>
      <c r="FD77" s="239"/>
      <c r="FE77" s="239"/>
      <c r="FF77" s="239"/>
      <c r="FG77" s="287"/>
      <c r="FH77" s="239"/>
      <c r="FI77" s="239"/>
      <c r="FJ77" s="239"/>
      <c r="FK77" s="239"/>
      <c r="FL77" s="239"/>
      <c r="FM77" s="239"/>
      <c r="FN77" s="239"/>
      <c r="FO77" s="239">
        <v>0.08</v>
      </c>
      <c r="FP77" s="239"/>
      <c r="FQ77" s="239"/>
      <c r="FR77" s="239"/>
      <c r="FS77" s="239">
        <v>7.12</v>
      </c>
      <c r="FT77" s="239"/>
      <c r="FU77" s="239">
        <v>0.09</v>
      </c>
      <c r="FV77" s="239"/>
      <c r="FW77" s="239">
        <v>0</v>
      </c>
      <c r="FX77" s="239"/>
      <c r="FY77" s="239">
        <v>1.335</v>
      </c>
      <c r="FZ77" s="239">
        <v>1.695</v>
      </c>
      <c r="GA77" s="239"/>
      <c r="GB77" s="239">
        <v>0.03</v>
      </c>
      <c r="GC77" s="239"/>
      <c r="GD77" s="239"/>
      <c r="GE77" s="239">
        <v>0.016</v>
      </c>
      <c r="GF77" s="239">
        <v>0.02</v>
      </c>
      <c r="GG77" s="239">
        <v>0</v>
      </c>
      <c r="GH77" s="239">
        <v>0</v>
      </c>
      <c r="GI77" s="239">
        <v>0.126</v>
      </c>
      <c r="GJ77" s="239"/>
      <c r="GK77" s="239"/>
      <c r="GL77" s="239"/>
      <c r="GM77" s="239"/>
      <c r="GN77" s="239"/>
      <c r="GO77" s="239"/>
      <c r="GP77" s="239"/>
      <c r="GQ77" s="239"/>
      <c r="GR77" s="250">
        <f t="shared" si="29"/>
        <v>0.09</v>
      </c>
      <c r="GS77" s="250">
        <f t="shared" si="30"/>
        <v>0.146</v>
      </c>
    </row>
    <row r="78" spans="1:201" ht="14.25" customHeight="1">
      <c r="A78" s="31" t="s">
        <v>50</v>
      </c>
      <c r="B78" s="31" t="s">
        <v>51</v>
      </c>
      <c r="C78" s="34">
        <v>471</v>
      </c>
      <c r="D78" s="142"/>
      <c r="E78" s="142">
        <v>68</v>
      </c>
      <c r="F78" s="142">
        <v>65</v>
      </c>
      <c r="G78" s="142">
        <v>30</v>
      </c>
      <c r="H78" s="142">
        <v>32</v>
      </c>
      <c r="I78" s="142" t="s">
        <v>14</v>
      </c>
      <c r="J78" s="143" t="s">
        <v>14</v>
      </c>
      <c r="K78" s="142" t="s">
        <v>14</v>
      </c>
      <c r="L78" s="137">
        <v>16</v>
      </c>
      <c r="M78" s="136">
        <v>140</v>
      </c>
      <c r="N78" s="137">
        <v>41</v>
      </c>
      <c r="O78" s="153">
        <v>112</v>
      </c>
      <c r="P78" s="70">
        <v>69</v>
      </c>
      <c r="Q78" s="138">
        <v>28</v>
      </c>
      <c r="R78" s="70" t="s">
        <v>14</v>
      </c>
      <c r="S78" s="70" t="s">
        <v>14</v>
      </c>
      <c r="T78" s="70" t="s">
        <v>14</v>
      </c>
      <c r="U78" s="70">
        <v>0</v>
      </c>
      <c r="V78" s="70">
        <v>0</v>
      </c>
      <c r="W78" s="70">
        <v>0</v>
      </c>
      <c r="X78" s="196">
        <v>0</v>
      </c>
      <c r="Y78" s="239">
        <f t="shared" si="31"/>
        <v>0</v>
      </c>
      <c r="Z78" s="239" t="s">
        <v>14</v>
      </c>
      <c r="AA78" s="239" t="s">
        <v>14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 t="s">
        <v>14</v>
      </c>
      <c r="AH78" s="239"/>
      <c r="AI78" s="239"/>
      <c r="AJ78" s="239"/>
      <c r="AK78" s="239"/>
      <c r="AL78" s="239"/>
      <c r="AM78" s="239">
        <v>0</v>
      </c>
      <c r="AN78" s="239">
        <v>0</v>
      </c>
      <c r="AO78" s="239" t="s">
        <v>14</v>
      </c>
      <c r="AP78" s="239">
        <v>0</v>
      </c>
      <c r="AQ78" s="239"/>
      <c r="AR78" s="239"/>
      <c r="AS78" s="239">
        <f t="shared" si="24"/>
        <v>0</v>
      </c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>
        <f t="shared" si="25"/>
        <v>0</v>
      </c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>
        <v>0</v>
      </c>
      <c r="BS78" s="239">
        <f t="shared" si="21"/>
        <v>0</v>
      </c>
      <c r="BT78" s="239">
        <f t="shared" si="33"/>
        <v>0</v>
      </c>
      <c r="BU78" s="239" t="s">
        <v>14</v>
      </c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>
        <f t="shared" si="26"/>
        <v>0</v>
      </c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239"/>
      <c r="CT78" s="239">
        <f t="shared" si="34"/>
        <v>0</v>
      </c>
      <c r="CU78" s="239" t="s">
        <v>14</v>
      </c>
      <c r="CV78" s="239"/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>
        <f t="shared" si="35"/>
        <v>0</v>
      </c>
      <c r="DH78" s="239" t="s">
        <v>14</v>
      </c>
      <c r="DI78" s="239" t="s">
        <v>14</v>
      </c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>
        <f t="shared" si="27"/>
        <v>0</v>
      </c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/>
      <c r="EF78" s="239"/>
      <c r="EG78" s="239">
        <f t="shared" si="22"/>
        <v>0</v>
      </c>
      <c r="EH78" s="239"/>
      <c r="EI78" s="239"/>
      <c r="EJ78" s="239"/>
      <c r="EK78" s="239"/>
      <c r="EL78" s="239"/>
      <c r="EM78" s="239"/>
      <c r="EN78" s="239"/>
      <c r="EO78" s="239"/>
      <c r="EP78" s="239"/>
      <c r="EQ78" s="239"/>
      <c r="ER78" s="239"/>
      <c r="ES78" s="239"/>
      <c r="ET78" s="239">
        <f t="shared" si="28"/>
        <v>0</v>
      </c>
      <c r="EU78" s="239">
        <f t="shared" si="23"/>
        <v>0</v>
      </c>
      <c r="EV78" s="239"/>
      <c r="EW78" s="239"/>
      <c r="EX78" s="239"/>
      <c r="EY78" s="239"/>
      <c r="EZ78" s="239"/>
      <c r="FA78" s="239"/>
      <c r="FB78" s="239"/>
      <c r="FC78" s="239"/>
      <c r="FD78" s="239"/>
      <c r="FE78" s="239"/>
      <c r="FF78" s="239"/>
      <c r="FG78" s="287"/>
      <c r="FH78" s="239"/>
      <c r="FI78" s="239"/>
      <c r="FJ78" s="239"/>
      <c r="FK78" s="239"/>
      <c r="FL78" s="239"/>
      <c r="FM78" s="239"/>
      <c r="FN78" s="239"/>
      <c r="FO78" s="239"/>
      <c r="FP78" s="239"/>
      <c r="FQ78" s="239"/>
      <c r="FR78" s="239"/>
      <c r="FS78" s="239"/>
      <c r="FT78" s="239"/>
      <c r="FU78" s="239"/>
      <c r="FV78" s="239"/>
      <c r="FW78" s="239">
        <v>0</v>
      </c>
      <c r="FX78" s="239"/>
      <c r="FY78" s="239">
        <v>0</v>
      </c>
      <c r="FZ78" s="239"/>
      <c r="GA78" s="239"/>
      <c r="GB78" s="239"/>
      <c r="GC78" s="239"/>
      <c r="GD78" s="239"/>
      <c r="GE78" s="239"/>
      <c r="GF78" s="239"/>
      <c r="GG78" s="239">
        <v>0</v>
      </c>
      <c r="GH78" s="239">
        <v>0</v>
      </c>
      <c r="GI78" s="239">
        <v>0</v>
      </c>
      <c r="GJ78" s="239"/>
      <c r="GK78" s="239"/>
      <c r="GL78" s="239"/>
      <c r="GM78" s="239"/>
      <c r="GN78" s="239"/>
      <c r="GO78" s="239"/>
      <c r="GP78" s="239"/>
      <c r="GQ78" s="239"/>
      <c r="GR78" s="239">
        <f t="shared" si="29"/>
        <v>0</v>
      </c>
      <c r="GS78" s="239">
        <f t="shared" si="30"/>
        <v>0</v>
      </c>
    </row>
    <row r="79" spans="1:201" ht="15.75">
      <c r="A79" s="91" t="s">
        <v>124</v>
      </c>
      <c r="B79" s="31" t="s">
        <v>52</v>
      </c>
      <c r="C79" s="142">
        <v>2578</v>
      </c>
      <c r="D79" s="142"/>
      <c r="E79" s="142">
        <v>1788</v>
      </c>
      <c r="F79" s="142">
        <v>1696</v>
      </c>
      <c r="G79" s="142">
        <v>4122</v>
      </c>
      <c r="H79" s="142">
        <v>3445</v>
      </c>
      <c r="I79" s="142">
        <v>761</v>
      </c>
      <c r="J79" s="143">
        <v>2162</v>
      </c>
      <c r="K79" s="142">
        <v>896</v>
      </c>
      <c r="L79" s="137">
        <v>108</v>
      </c>
      <c r="M79" s="136" t="s">
        <v>14</v>
      </c>
      <c r="N79" s="137" t="s">
        <v>14</v>
      </c>
      <c r="O79" s="70" t="s">
        <v>14</v>
      </c>
      <c r="P79" s="70" t="s">
        <v>14</v>
      </c>
      <c r="Q79" s="70" t="s">
        <v>14</v>
      </c>
      <c r="R79" s="70" t="s">
        <v>14</v>
      </c>
      <c r="S79" s="70" t="s">
        <v>14</v>
      </c>
      <c r="T79" s="70">
        <v>126</v>
      </c>
      <c r="U79" s="70">
        <v>150</v>
      </c>
      <c r="V79" s="70">
        <v>4</v>
      </c>
      <c r="W79" s="70" t="s">
        <v>14</v>
      </c>
      <c r="X79" s="196" t="s">
        <v>14</v>
      </c>
      <c r="Y79" s="239">
        <f t="shared" si="31"/>
        <v>33</v>
      </c>
      <c r="Z79" s="239">
        <f t="shared" si="32"/>
        <v>1</v>
      </c>
      <c r="AA79" s="239">
        <v>308.8</v>
      </c>
      <c r="AB79" s="239">
        <v>36.281</v>
      </c>
      <c r="AC79" s="239">
        <v>420.658</v>
      </c>
      <c r="AD79" s="239">
        <v>447.41600000000005</v>
      </c>
      <c r="AE79" s="239">
        <v>390.95500000000004</v>
      </c>
      <c r="AF79" s="239">
        <v>2969.468</v>
      </c>
      <c r="AG79" s="239" t="s">
        <v>14</v>
      </c>
      <c r="AH79" s="239"/>
      <c r="AI79" s="239"/>
      <c r="AJ79" s="239"/>
      <c r="AK79" s="239"/>
      <c r="AL79" s="239"/>
      <c r="AM79" s="239">
        <v>0</v>
      </c>
      <c r="AN79" s="239">
        <v>150</v>
      </c>
      <c r="AO79" s="239" t="s">
        <v>63</v>
      </c>
      <c r="AP79" s="239">
        <v>0</v>
      </c>
      <c r="AQ79" s="239"/>
      <c r="AR79" s="239"/>
      <c r="AS79" s="239">
        <f t="shared" si="24"/>
        <v>150</v>
      </c>
      <c r="AT79" s="239"/>
      <c r="AU79" s="239"/>
      <c r="AV79" s="239"/>
      <c r="AW79" s="239"/>
      <c r="AX79" s="239"/>
      <c r="AY79" s="239"/>
      <c r="AZ79" s="239"/>
      <c r="BA79" s="239"/>
      <c r="BB79" s="239">
        <v>4</v>
      </c>
      <c r="BC79" s="239"/>
      <c r="BD79" s="239"/>
      <c r="BE79" s="239"/>
      <c r="BF79" s="239">
        <f t="shared" si="25"/>
        <v>4</v>
      </c>
      <c r="BG79" s="239"/>
      <c r="BH79" s="239"/>
      <c r="BI79" s="239"/>
      <c r="BJ79" s="239"/>
      <c r="BK79" s="239"/>
      <c r="BL79" s="239"/>
      <c r="BM79" s="239"/>
      <c r="BN79" s="239"/>
      <c r="BO79" s="239"/>
      <c r="BP79" s="239">
        <v>0</v>
      </c>
      <c r="BQ79" s="239">
        <v>0</v>
      </c>
      <c r="BR79" s="239">
        <v>0</v>
      </c>
      <c r="BS79" s="239">
        <f t="shared" si="21"/>
        <v>0</v>
      </c>
      <c r="BT79" s="239" t="s">
        <v>14</v>
      </c>
      <c r="BU79" s="239" t="s">
        <v>14</v>
      </c>
      <c r="BV79" s="239" t="s">
        <v>14</v>
      </c>
      <c r="BW79" s="239"/>
      <c r="BX79" s="239"/>
      <c r="BY79" s="239"/>
      <c r="BZ79" s="239">
        <v>0</v>
      </c>
      <c r="CA79" s="239"/>
      <c r="CB79" s="239"/>
      <c r="CC79" s="239">
        <v>0</v>
      </c>
      <c r="CD79" s="239">
        <v>0</v>
      </c>
      <c r="CE79" s="239">
        <v>0</v>
      </c>
      <c r="CF79" s="239"/>
      <c r="CG79" s="239" t="s">
        <v>14</v>
      </c>
      <c r="CH79" s="239" t="s">
        <v>14</v>
      </c>
      <c r="CI79" s="239"/>
      <c r="CJ79" s="239">
        <v>0</v>
      </c>
      <c r="CK79" s="239">
        <v>0</v>
      </c>
      <c r="CL79" s="239">
        <v>0</v>
      </c>
      <c r="CM79" s="239">
        <v>0</v>
      </c>
      <c r="CN79" s="239">
        <v>0</v>
      </c>
      <c r="CO79" s="239">
        <v>33</v>
      </c>
      <c r="CP79" s="239">
        <v>0</v>
      </c>
      <c r="CQ79" s="239">
        <v>0</v>
      </c>
      <c r="CR79" s="239">
        <v>0</v>
      </c>
      <c r="CS79" s="239">
        <v>0</v>
      </c>
      <c r="CT79" s="239">
        <f t="shared" si="34"/>
        <v>33</v>
      </c>
      <c r="CU79" s="239" t="s">
        <v>14</v>
      </c>
      <c r="CV79" s="239">
        <v>1</v>
      </c>
      <c r="CW79" s="239"/>
      <c r="CX79" s="239"/>
      <c r="CY79" s="239">
        <v>0</v>
      </c>
      <c r="CZ79" s="239">
        <v>0</v>
      </c>
      <c r="DA79" s="239">
        <v>0</v>
      </c>
      <c r="DB79" s="239">
        <v>0</v>
      </c>
      <c r="DC79" s="239">
        <v>0</v>
      </c>
      <c r="DD79" s="239" t="s">
        <v>14</v>
      </c>
      <c r="DE79" s="239">
        <v>0</v>
      </c>
      <c r="DF79" s="239">
        <v>0</v>
      </c>
      <c r="DG79" s="239">
        <f t="shared" si="35"/>
        <v>1</v>
      </c>
      <c r="DH79" s="239" t="s">
        <v>14</v>
      </c>
      <c r="DI79" s="239" t="s">
        <v>14</v>
      </c>
      <c r="DJ79" s="239">
        <v>0</v>
      </c>
      <c r="DK79" s="239">
        <v>30</v>
      </c>
      <c r="DL79" s="239"/>
      <c r="DM79" s="239"/>
      <c r="DN79" s="239"/>
      <c r="DO79" s="239">
        <v>0</v>
      </c>
      <c r="DP79" s="239">
        <f>1+59.8</f>
        <v>60.8</v>
      </c>
      <c r="DQ79" s="239"/>
      <c r="DR79" s="239">
        <v>84</v>
      </c>
      <c r="DS79" s="239">
        <v>134</v>
      </c>
      <c r="DT79" s="239">
        <f t="shared" si="27"/>
        <v>308.8</v>
      </c>
      <c r="DU79" s="239"/>
      <c r="DV79" s="239"/>
      <c r="DW79" s="239"/>
      <c r="DX79" s="239"/>
      <c r="DY79" s="239">
        <v>0</v>
      </c>
      <c r="DZ79" s="239">
        <v>36.281</v>
      </c>
      <c r="EA79" s="239"/>
      <c r="EB79" s="239"/>
      <c r="EC79" s="239"/>
      <c r="ED79" s="239"/>
      <c r="EE79" s="239"/>
      <c r="EF79" s="239"/>
      <c r="EG79" s="239">
        <f t="shared" si="22"/>
        <v>36.281</v>
      </c>
      <c r="EH79" s="239">
        <v>2.41</v>
      </c>
      <c r="EI79" s="239">
        <v>7.4</v>
      </c>
      <c r="EJ79" s="239">
        <v>42.836</v>
      </c>
      <c r="EK79" s="239">
        <v>92.627</v>
      </c>
      <c r="EL79" s="239">
        <v>54.536</v>
      </c>
      <c r="EM79" s="239">
        <v>26.008</v>
      </c>
      <c r="EN79" s="239">
        <v>48.01</v>
      </c>
      <c r="EO79" s="239">
        <v>36.486</v>
      </c>
      <c r="EP79" s="239">
        <v>0.6</v>
      </c>
      <c r="EQ79" s="239">
        <v>48.213</v>
      </c>
      <c r="ER79" s="239">
        <v>26.635</v>
      </c>
      <c r="ES79" s="239">
        <v>34.897</v>
      </c>
      <c r="ET79" s="239">
        <f t="shared" si="28"/>
        <v>36.281</v>
      </c>
      <c r="EU79" s="239">
        <f t="shared" si="23"/>
        <v>420.658</v>
      </c>
      <c r="EV79" s="239">
        <v>50.25</v>
      </c>
      <c r="EW79" s="239">
        <v>50.07</v>
      </c>
      <c r="EX79" s="239">
        <v>29.86</v>
      </c>
      <c r="EY79" s="239">
        <v>33.796</v>
      </c>
      <c r="EZ79" s="239">
        <v>31.16</v>
      </c>
      <c r="FA79" s="239">
        <v>36.004</v>
      </c>
      <c r="FB79" s="239">
        <v>37</v>
      </c>
      <c r="FC79" s="239">
        <v>31.16</v>
      </c>
      <c r="FD79" s="239">
        <v>49.24</v>
      </c>
      <c r="FE79" s="239">
        <v>14.516</v>
      </c>
      <c r="FF79" s="239">
        <v>37.48</v>
      </c>
      <c r="FG79" s="287">
        <v>46.88</v>
      </c>
      <c r="FH79" s="239">
        <v>48.688</v>
      </c>
      <c r="FI79" s="239">
        <v>36.76</v>
      </c>
      <c r="FJ79" s="239">
        <v>47.54</v>
      </c>
      <c r="FK79" s="239">
        <v>36.76</v>
      </c>
      <c r="FL79" s="239">
        <v>39.08</v>
      </c>
      <c r="FM79" s="239">
        <v>63.917</v>
      </c>
      <c r="FN79" s="239">
        <v>32.94</v>
      </c>
      <c r="FO79" s="239">
        <v>45.7</v>
      </c>
      <c r="FP79" s="239"/>
      <c r="FQ79" s="239">
        <v>16.67</v>
      </c>
      <c r="FR79" s="239">
        <v>5.3</v>
      </c>
      <c r="FS79" s="239">
        <v>17.6</v>
      </c>
      <c r="FT79" s="239">
        <v>270.19</v>
      </c>
      <c r="FU79" s="239">
        <v>204.721</v>
      </c>
      <c r="FV79" s="239">
        <v>212.1</v>
      </c>
      <c r="FW79" s="239">
        <v>282.912</v>
      </c>
      <c r="FX79" s="239">
        <v>239.653</v>
      </c>
      <c r="FY79" s="239">
        <v>223.4</v>
      </c>
      <c r="FZ79" s="239">
        <v>205.02</v>
      </c>
      <c r="GA79" s="239">
        <v>333.011</v>
      </c>
      <c r="GB79" s="239">
        <v>271</v>
      </c>
      <c r="GC79" s="239">
        <v>101.48</v>
      </c>
      <c r="GD79" s="239">
        <v>599.021</v>
      </c>
      <c r="GE79" s="239">
        <v>26.96</v>
      </c>
      <c r="GF79" s="239">
        <v>23.75</v>
      </c>
      <c r="GG79" s="239">
        <v>21.66</v>
      </c>
      <c r="GH79" s="239">
        <v>39.09</v>
      </c>
      <c r="GI79" s="239">
        <v>19.2</v>
      </c>
      <c r="GJ79" s="239"/>
      <c r="GK79" s="239"/>
      <c r="GL79" s="239"/>
      <c r="GM79" s="239"/>
      <c r="GN79" s="239"/>
      <c r="GO79" s="239"/>
      <c r="GP79" s="239"/>
      <c r="GQ79" s="239"/>
      <c r="GR79" s="239">
        <f t="shared" si="29"/>
        <v>969.923</v>
      </c>
      <c r="GS79" s="239">
        <f t="shared" si="30"/>
        <v>103.7</v>
      </c>
    </row>
    <row r="80" spans="1:201" s="303" customFormat="1" ht="15.75">
      <c r="A80" s="294" t="s">
        <v>125</v>
      </c>
      <c r="B80" s="294" t="s">
        <v>123</v>
      </c>
      <c r="C80" s="295"/>
      <c r="D80" s="295"/>
      <c r="E80" s="295"/>
      <c r="F80" s="295"/>
      <c r="G80" s="295"/>
      <c r="H80" s="295"/>
      <c r="I80" s="295"/>
      <c r="J80" s="296"/>
      <c r="K80" s="295"/>
      <c r="L80" s="295"/>
      <c r="M80" s="297"/>
      <c r="N80" s="295"/>
      <c r="O80" s="298"/>
      <c r="P80" s="298"/>
      <c r="Q80" s="298"/>
      <c r="R80" s="298"/>
      <c r="S80" s="298"/>
      <c r="T80" s="298"/>
      <c r="U80" s="298"/>
      <c r="V80" s="299"/>
      <c r="W80" s="299"/>
      <c r="X80" s="300"/>
      <c r="Y80" s="301"/>
      <c r="Z80" s="301"/>
      <c r="AA80" s="301"/>
      <c r="AB80" s="301"/>
      <c r="AC80" s="301"/>
      <c r="AD80" s="301"/>
      <c r="AE80" s="301">
        <v>0.396</v>
      </c>
      <c r="AF80" s="301">
        <v>1.59217</v>
      </c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301"/>
      <c r="BE80" s="301"/>
      <c r="BF80" s="301"/>
      <c r="BG80" s="301"/>
      <c r="BH80" s="301"/>
      <c r="BI80" s="301"/>
      <c r="BJ80" s="301"/>
      <c r="BK80" s="301"/>
      <c r="BL80" s="301"/>
      <c r="BM80" s="301"/>
      <c r="BN80" s="301"/>
      <c r="BO80" s="301"/>
      <c r="BP80" s="301"/>
      <c r="BQ80" s="301"/>
      <c r="BR80" s="301"/>
      <c r="BS80" s="301"/>
      <c r="BT80" s="301"/>
      <c r="BU80" s="301"/>
      <c r="BV80" s="301"/>
      <c r="BW80" s="301"/>
      <c r="BX80" s="301"/>
      <c r="BY80" s="301"/>
      <c r="BZ80" s="301"/>
      <c r="CA80" s="301"/>
      <c r="CB80" s="301"/>
      <c r="CC80" s="301"/>
      <c r="CD80" s="301"/>
      <c r="CE80" s="301"/>
      <c r="CF80" s="301"/>
      <c r="CG80" s="301"/>
      <c r="CH80" s="301"/>
      <c r="CI80" s="301"/>
      <c r="CJ80" s="301"/>
      <c r="CK80" s="301"/>
      <c r="CL80" s="301"/>
      <c r="CM80" s="301"/>
      <c r="CN80" s="301"/>
      <c r="CO80" s="301"/>
      <c r="CP80" s="301"/>
      <c r="CQ80" s="301"/>
      <c r="CR80" s="301"/>
      <c r="CS80" s="301"/>
      <c r="CT80" s="301"/>
      <c r="CU80" s="301"/>
      <c r="CV80" s="301"/>
      <c r="CW80" s="301"/>
      <c r="CX80" s="301"/>
      <c r="CY80" s="301"/>
      <c r="CZ80" s="301"/>
      <c r="DA80" s="301"/>
      <c r="DB80" s="301"/>
      <c r="DC80" s="301"/>
      <c r="DD80" s="301"/>
      <c r="DE80" s="301"/>
      <c r="DF80" s="301"/>
      <c r="DG80" s="301"/>
      <c r="DH80" s="301"/>
      <c r="DI80" s="301"/>
      <c r="DJ80" s="301"/>
      <c r="DK80" s="301"/>
      <c r="DL80" s="301"/>
      <c r="DM80" s="301"/>
      <c r="DN80" s="301"/>
      <c r="DO80" s="301"/>
      <c r="DP80" s="301"/>
      <c r="DQ80" s="301"/>
      <c r="DR80" s="301"/>
      <c r="DS80" s="301"/>
      <c r="DT80" s="301"/>
      <c r="DU80" s="301"/>
      <c r="DV80" s="301"/>
      <c r="DW80" s="301"/>
      <c r="DX80" s="301"/>
      <c r="DY80" s="301"/>
      <c r="DZ80" s="301"/>
      <c r="EA80" s="301"/>
      <c r="EB80" s="301"/>
      <c r="EC80" s="301"/>
      <c r="ED80" s="301"/>
      <c r="EE80" s="301"/>
      <c r="EF80" s="301"/>
      <c r="EG80" s="301"/>
      <c r="EH80" s="301"/>
      <c r="EI80" s="301"/>
      <c r="EJ80" s="301"/>
      <c r="EK80" s="301"/>
      <c r="EL80" s="301"/>
      <c r="EM80" s="301"/>
      <c r="EN80" s="301"/>
      <c r="EO80" s="301"/>
      <c r="EP80" s="301"/>
      <c r="EQ80" s="301"/>
      <c r="ER80" s="301"/>
      <c r="ES80" s="301"/>
      <c r="ET80" s="301"/>
      <c r="EU80" s="301"/>
      <c r="EV80" s="301"/>
      <c r="EW80" s="301"/>
      <c r="EX80" s="301"/>
      <c r="EY80" s="301"/>
      <c r="EZ80" s="301"/>
      <c r="FA80" s="301"/>
      <c r="FB80" s="301"/>
      <c r="FC80" s="301"/>
      <c r="FD80" s="301"/>
      <c r="FE80" s="301"/>
      <c r="FF80" s="301"/>
      <c r="FG80" s="302"/>
      <c r="FH80" s="301">
        <v>0.02</v>
      </c>
      <c r="FI80" s="301">
        <v>0.025</v>
      </c>
      <c r="FJ80" s="301">
        <v>0.03</v>
      </c>
      <c r="FK80" s="301">
        <v>0.015</v>
      </c>
      <c r="FL80" s="301">
        <v>0.01</v>
      </c>
      <c r="FM80" s="301">
        <v>0.02</v>
      </c>
      <c r="FN80" s="301">
        <v>0.03</v>
      </c>
      <c r="FO80" s="301">
        <v>0.035</v>
      </c>
      <c r="FP80" s="301">
        <v>0.03</v>
      </c>
      <c r="FQ80" s="301">
        <v>0.065</v>
      </c>
      <c r="FR80" s="301">
        <v>0.075</v>
      </c>
      <c r="FS80" s="301">
        <v>0.041</v>
      </c>
      <c r="FT80" s="301">
        <v>0.064</v>
      </c>
      <c r="FU80" s="301">
        <v>0.06118</v>
      </c>
      <c r="FV80" s="301">
        <v>0.08</v>
      </c>
      <c r="FW80" s="301">
        <v>0.046</v>
      </c>
      <c r="FX80" s="301">
        <v>0.081</v>
      </c>
      <c r="FY80" s="301">
        <v>0.095</v>
      </c>
      <c r="FZ80" s="301">
        <v>0.065</v>
      </c>
      <c r="GA80" s="301">
        <v>0.09</v>
      </c>
      <c r="GB80" s="301">
        <v>0.076</v>
      </c>
      <c r="GC80" s="301">
        <v>0.73699</v>
      </c>
      <c r="GD80" s="301">
        <v>0.113</v>
      </c>
      <c r="GE80" s="301">
        <v>0.084</v>
      </c>
      <c r="GF80" s="301">
        <v>0.069</v>
      </c>
      <c r="GG80" s="301">
        <v>0.668192</v>
      </c>
      <c r="GH80" s="301">
        <v>0.065</v>
      </c>
      <c r="GI80" s="301">
        <v>0.078</v>
      </c>
      <c r="GJ80" s="301"/>
      <c r="GK80" s="301"/>
      <c r="GL80" s="301"/>
      <c r="GM80" s="301"/>
      <c r="GN80" s="301"/>
      <c r="GO80" s="301"/>
      <c r="GP80" s="301"/>
      <c r="GQ80" s="301"/>
      <c r="GR80" s="301">
        <f t="shared" si="29"/>
        <v>0.25118</v>
      </c>
      <c r="GS80" s="239">
        <f t="shared" si="30"/>
        <v>0.880192</v>
      </c>
    </row>
    <row r="81" spans="1:201" ht="13.5" customHeight="1">
      <c r="A81" s="61" t="s">
        <v>53</v>
      </c>
      <c r="B81" s="31" t="s">
        <v>54</v>
      </c>
      <c r="C81" s="142">
        <v>100</v>
      </c>
      <c r="D81" s="142"/>
      <c r="E81" s="142">
        <v>7</v>
      </c>
      <c r="F81" s="142">
        <v>39</v>
      </c>
      <c r="G81" s="142">
        <v>168</v>
      </c>
      <c r="H81" s="142">
        <v>31</v>
      </c>
      <c r="I81" s="142">
        <v>5</v>
      </c>
      <c r="J81" s="143">
        <v>11</v>
      </c>
      <c r="K81" s="142">
        <v>3</v>
      </c>
      <c r="L81" s="137" t="s">
        <v>14</v>
      </c>
      <c r="M81" s="136" t="s">
        <v>14</v>
      </c>
      <c r="N81" s="137" t="s">
        <v>14</v>
      </c>
      <c r="O81" s="153">
        <v>3</v>
      </c>
      <c r="P81" s="70" t="s">
        <v>63</v>
      </c>
      <c r="Q81" s="70" t="s">
        <v>14</v>
      </c>
      <c r="R81" s="70" t="s">
        <v>14</v>
      </c>
      <c r="S81" s="70" t="s">
        <v>14</v>
      </c>
      <c r="T81" s="70">
        <v>14</v>
      </c>
      <c r="U81" s="70">
        <v>13</v>
      </c>
      <c r="V81" s="28" t="s">
        <v>14</v>
      </c>
      <c r="W81" s="28" t="s">
        <v>14</v>
      </c>
      <c r="X81" s="196" t="s">
        <v>14</v>
      </c>
      <c r="Y81" s="239" t="s">
        <v>14</v>
      </c>
      <c r="Z81" s="239" t="s">
        <v>14</v>
      </c>
      <c r="AA81" s="239">
        <v>8.875</v>
      </c>
      <c r="AB81" s="239">
        <v>201.297</v>
      </c>
      <c r="AC81" s="239">
        <v>138.90200000000002</v>
      </c>
      <c r="AD81" s="239">
        <v>66.192</v>
      </c>
      <c r="AE81" s="239">
        <v>59.016999999999996</v>
      </c>
      <c r="AF81" s="239">
        <v>219.795</v>
      </c>
      <c r="AG81" s="239" t="s">
        <v>14</v>
      </c>
      <c r="AH81" s="239"/>
      <c r="AI81" s="239"/>
      <c r="AJ81" s="239">
        <v>13</v>
      </c>
      <c r="AK81" s="239"/>
      <c r="AL81" s="239"/>
      <c r="AM81" s="239">
        <v>0</v>
      </c>
      <c r="AN81" s="239">
        <v>0</v>
      </c>
      <c r="AO81" s="239" t="s">
        <v>14</v>
      </c>
      <c r="AP81" s="239">
        <v>0</v>
      </c>
      <c r="AQ81" s="239"/>
      <c r="AR81" s="239"/>
      <c r="AS81" s="239">
        <f t="shared" si="24"/>
        <v>13</v>
      </c>
      <c r="AT81" s="239" t="s">
        <v>14</v>
      </c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>
        <f t="shared" si="25"/>
        <v>0</v>
      </c>
      <c r="BG81" s="239" t="s">
        <v>14</v>
      </c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>
        <v>0</v>
      </c>
      <c r="BS81" s="239">
        <f t="shared" si="21"/>
        <v>0</v>
      </c>
      <c r="BT81" s="239">
        <f t="shared" si="33"/>
        <v>0</v>
      </c>
      <c r="BU81" s="239"/>
      <c r="BV81" s="239"/>
      <c r="BW81" s="239"/>
      <c r="BX81" s="239"/>
      <c r="BY81" s="239"/>
      <c r="BZ81" s="239"/>
      <c r="CA81" s="239"/>
      <c r="CB81" s="239"/>
      <c r="CC81" s="239"/>
      <c r="CD81" s="239"/>
      <c r="CE81" s="239"/>
      <c r="CF81" s="239"/>
      <c r="CG81" s="239">
        <f t="shared" si="26"/>
        <v>0</v>
      </c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39"/>
      <c r="CS81" s="239"/>
      <c r="CT81" s="239">
        <f t="shared" si="34"/>
        <v>0</v>
      </c>
      <c r="CU81" s="239"/>
      <c r="CV81" s="239" t="s">
        <v>14</v>
      </c>
      <c r="CW81" s="239"/>
      <c r="CX81" s="239"/>
      <c r="CY81" s="239"/>
      <c r="CZ81" s="239"/>
      <c r="DA81" s="239"/>
      <c r="DB81" s="239"/>
      <c r="DC81" s="239"/>
      <c r="DD81" s="239"/>
      <c r="DE81" s="239"/>
      <c r="DF81" s="239"/>
      <c r="DG81" s="239" t="s">
        <v>14</v>
      </c>
      <c r="DH81" s="239" t="s">
        <v>14</v>
      </c>
      <c r="DI81" s="239">
        <v>8.875</v>
      </c>
      <c r="DJ81" s="239"/>
      <c r="DK81" s="239">
        <v>0</v>
      </c>
      <c r="DL81" s="239"/>
      <c r="DM81" s="239"/>
      <c r="DN81" s="239"/>
      <c r="DO81" s="239">
        <v>0</v>
      </c>
      <c r="DP81" s="239"/>
      <c r="DQ81" s="239"/>
      <c r="DR81" s="239">
        <v>0</v>
      </c>
      <c r="DS81" s="239">
        <v>0</v>
      </c>
      <c r="DT81" s="239">
        <f t="shared" si="27"/>
        <v>8.875</v>
      </c>
      <c r="DU81" s="239"/>
      <c r="DV81" s="239"/>
      <c r="DW81" s="239"/>
      <c r="DX81" s="239"/>
      <c r="DY81" s="239"/>
      <c r="DZ81" s="239">
        <v>13.493</v>
      </c>
      <c r="EA81" s="239">
        <v>11.972</v>
      </c>
      <c r="EB81" s="239">
        <v>18.1</v>
      </c>
      <c r="EC81" s="239">
        <v>25.093</v>
      </c>
      <c r="ED81" s="239">
        <v>110.53</v>
      </c>
      <c r="EE81" s="239">
        <v>12.109</v>
      </c>
      <c r="EF81" s="239">
        <v>10</v>
      </c>
      <c r="EG81" s="239">
        <f t="shared" si="22"/>
        <v>201.297</v>
      </c>
      <c r="EH81" s="239">
        <v>3.7</v>
      </c>
      <c r="EI81" s="239">
        <v>27.182</v>
      </c>
      <c r="EJ81" s="239">
        <v>11.3</v>
      </c>
      <c r="EK81" s="239">
        <v>0.1</v>
      </c>
      <c r="EL81" s="239">
        <v>13.6</v>
      </c>
      <c r="EM81" s="239">
        <v>55.274</v>
      </c>
      <c r="EN81" s="239">
        <v>12.94</v>
      </c>
      <c r="EO81" s="239">
        <v>0.036</v>
      </c>
      <c r="EP81" s="239">
        <v>11.49</v>
      </c>
      <c r="EQ81" s="239">
        <v>1.725</v>
      </c>
      <c r="ER81" s="239"/>
      <c r="ES81" s="239">
        <v>1.555</v>
      </c>
      <c r="ET81" s="239">
        <f t="shared" si="28"/>
        <v>201.297</v>
      </c>
      <c r="EU81" s="239">
        <f t="shared" si="23"/>
        <v>138.90200000000002</v>
      </c>
      <c r="EV81" s="239">
        <v>13.683</v>
      </c>
      <c r="EW81" s="239">
        <v>2.438</v>
      </c>
      <c r="EX81" s="239">
        <v>1.45</v>
      </c>
      <c r="EY81" s="239">
        <v>0.88</v>
      </c>
      <c r="EZ81" s="239">
        <v>0.01</v>
      </c>
      <c r="FA81" s="239">
        <v>1.119</v>
      </c>
      <c r="FB81" s="239">
        <v>6.296</v>
      </c>
      <c r="FC81" s="239">
        <v>13.235</v>
      </c>
      <c r="FD81" s="239">
        <v>5.732</v>
      </c>
      <c r="FE81" s="239">
        <v>14.369</v>
      </c>
      <c r="FF81" s="239">
        <v>4.5</v>
      </c>
      <c r="FG81" s="287">
        <v>2.48</v>
      </c>
      <c r="FH81" s="239">
        <v>7.43</v>
      </c>
      <c r="FI81" s="239">
        <v>4.232</v>
      </c>
      <c r="FJ81" s="239">
        <v>11.714</v>
      </c>
      <c r="FK81" s="239">
        <v>1.951</v>
      </c>
      <c r="FL81" s="239">
        <v>1.19</v>
      </c>
      <c r="FM81" s="239">
        <v>1.905</v>
      </c>
      <c r="FN81" s="239">
        <v>2.824</v>
      </c>
      <c r="FO81" s="239">
        <v>14.2</v>
      </c>
      <c r="FP81" s="239">
        <v>3.3</v>
      </c>
      <c r="FQ81" s="239">
        <v>7.636</v>
      </c>
      <c r="FR81" s="239">
        <v>0.3</v>
      </c>
      <c r="FS81" s="239">
        <v>2.335</v>
      </c>
      <c r="FT81" s="239">
        <v>24.365</v>
      </c>
      <c r="FU81" s="239">
        <v>10.82</v>
      </c>
      <c r="FV81" s="239">
        <v>4.2</v>
      </c>
      <c r="FW81" s="239">
        <v>18.05</v>
      </c>
      <c r="FX81" s="239">
        <v>0.01</v>
      </c>
      <c r="FY81" s="239">
        <v>33.233</v>
      </c>
      <c r="FZ81" s="239">
        <v>27.797</v>
      </c>
      <c r="GA81" s="239">
        <v>1.458</v>
      </c>
      <c r="GB81" s="239">
        <v>0.3</v>
      </c>
      <c r="GC81" s="239">
        <v>38.381</v>
      </c>
      <c r="GD81" s="239">
        <v>31.021</v>
      </c>
      <c r="GE81" s="239">
        <v>30.16</v>
      </c>
      <c r="GF81" s="239">
        <v>0.168</v>
      </c>
      <c r="GG81" s="239">
        <v>25.591</v>
      </c>
      <c r="GH81" s="239">
        <v>8.767</v>
      </c>
      <c r="GI81" s="239">
        <v>3.788</v>
      </c>
      <c r="GJ81" s="239"/>
      <c r="GK81" s="239"/>
      <c r="GL81" s="239"/>
      <c r="GM81" s="239"/>
      <c r="GN81" s="239"/>
      <c r="GO81" s="239"/>
      <c r="GP81" s="239"/>
      <c r="GQ81" s="239"/>
      <c r="GR81" s="239">
        <f t="shared" si="29"/>
        <v>57.435</v>
      </c>
      <c r="GS81" s="239">
        <f t="shared" si="30"/>
        <v>38.31399999999999</v>
      </c>
    </row>
    <row r="82" spans="1:201" ht="18">
      <c r="A82" s="21"/>
      <c r="B82" s="61" t="s">
        <v>130</v>
      </c>
      <c r="C82" s="34">
        <v>278</v>
      </c>
      <c r="D82" s="142"/>
      <c r="E82" s="142">
        <v>901</v>
      </c>
      <c r="F82" s="142">
        <v>212</v>
      </c>
      <c r="G82" s="142">
        <v>171</v>
      </c>
      <c r="H82" s="142">
        <v>1289</v>
      </c>
      <c r="I82" s="142">
        <v>284</v>
      </c>
      <c r="J82" s="143">
        <v>988</v>
      </c>
      <c r="K82" s="142">
        <v>284</v>
      </c>
      <c r="L82" s="137">
        <v>216</v>
      </c>
      <c r="M82" s="136">
        <v>363</v>
      </c>
      <c r="N82" s="137">
        <v>191</v>
      </c>
      <c r="O82" s="153">
        <v>201</v>
      </c>
      <c r="P82" s="70">
        <v>657</v>
      </c>
      <c r="Q82" s="138">
        <v>862</v>
      </c>
      <c r="R82" s="70">
        <v>154</v>
      </c>
      <c r="S82" s="70">
        <v>1081</v>
      </c>
      <c r="T82" s="138">
        <v>5502</v>
      </c>
      <c r="U82" s="138">
        <v>2510</v>
      </c>
      <c r="V82" s="70">
        <v>231.08100000000002</v>
      </c>
      <c r="W82" s="70">
        <v>782</v>
      </c>
      <c r="X82" s="196">
        <v>513.5</v>
      </c>
      <c r="Y82" s="239">
        <f t="shared" si="31"/>
        <v>1005.891</v>
      </c>
      <c r="Z82" s="239">
        <f>SUM(CU82:DF82)</f>
        <v>6770.294</v>
      </c>
      <c r="AA82" s="239">
        <v>2422.7320000000004</v>
      </c>
      <c r="AB82" s="239">
        <v>12189.728000000001</v>
      </c>
      <c r="AC82" s="239">
        <v>24401.222</v>
      </c>
      <c r="AD82" s="239">
        <v>20885.737000000005</v>
      </c>
      <c r="AE82" s="239">
        <v>21698.351116448106</v>
      </c>
      <c r="AF82" s="239">
        <v>22645.506999999998</v>
      </c>
      <c r="AG82" s="239">
        <v>14</v>
      </c>
      <c r="AH82" s="239">
        <v>51</v>
      </c>
      <c r="AI82" s="239">
        <v>19</v>
      </c>
      <c r="AJ82" s="239">
        <v>11</v>
      </c>
      <c r="AK82" s="239">
        <v>15</v>
      </c>
      <c r="AL82" s="239">
        <v>1005</v>
      </c>
      <c r="AM82" s="239">
        <v>31</v>
      </c>
      <c r="AN82" s="239">
        <v>33</v>
      </c>
      <c r="AO82" s="239">
        <v>27</v>
      </c>
      <c r="AP82" s="239">
        <f>5+800</f>
        <v>805</v>
      </c>
      <c r="AQ82" s="239">
        <f>100+10+0.3+1.6+3+200+23</f>
        <v>337.9</v>
      </c>
      <c r="AR82" s="239">
        <f>12+148</f>
        <v>160</v>
      </c>
      <c r="AS82" s="239">
        <v>2510</v>
      </c>
      <c r="AT82" s="239">
        <f>30+21+0.7+0.1+0.2</f>
        <v>52.00000000000001</v>
      </c>
      <c r="AU82" s="239">
        <v>8</v>
      </c>
      <c r="AV82" s="239">
        <f>0.2+1.4</f>
        <v>1.5999999999999999</v>
      </c>
      <c r="AW82" s="239">
        <v>27</v>
      </c>
      <c r="AX82" s="239">
        <f>0.714+0.229+2.93</f>
        <v>3.873</v>
      </c>
      <c r="AY82" s="239">
        <f>0.2+0.6+0.1+1.3</f>
        <v>2.2</v>
      </c>
      <c r="AZ82" s="239">
        <f>6.1+3.8+0.2+0.25+0.5</f>
        <v>10.849999999999998</v>
      </c>
      <c r="BA82" s="239">
        <f>0.83+0.165+4.933</f>
        <v>5.928</v>
      </c>
      <c r="BB82" s="239">
        <f>0.6+0.5+59.4</f>
        <v>60.5</v>
      </c>
      <c r="BC82" s="239">
        <v>0.4</v>
      </c>
      <c r="BD82" s="239">
        <f>1.55+0.8+15+4.33+24.35+0.6</f>
        <v>46.63</v>
      </c>
      <c r="BE82" s="239">
        <f>0.825+3+0.475+2+5.8</f>
        <v>12.1</v>
      </c>
      <c r="BF82" s="239">
        <f t="shared" si="25"/>
        <v>231.08100000000002</v>
      </c>
      <c r="BG82" s="239">
        <v>107</v>
      </c>
      <c r="BH82" s="239">
        <f>1.07+0.256+0.1+0.44+0.4</f>
        <v>2.266</v>
      </c>
      <c r="BI82" s="239">
        <f>8.115+30.25</f>
        <v>38.365</v>
      </c>
      <c r="BJ82" s="239">
        <f>3.4+1.76+4.5+2.275</f>
        <v>11.935</v>
      </c>
      <c r="BK82" s="239">
        <f>0.963+2+2.432</f>
        <v>5.395</v>
      </c>
      <c r="BL82" s="239">
        <f>0.139+22.5+0.33+7.785+1.959</f>
        <v>32.713</v>
      </c>
      <c r="BM82" s="239">
        <f>33+14.146+15+0.512+0.385+11.6</f>
        <v>74.643</v>
      </c>
      <c r="BN82" s="239">
        <f>0.8+10+1.15+35</f>
        <v>46.95</v>
      </c>
      <c r="BO82" s="239">
        <f>1.1+0.3+20+0.2+16.1+0.5+0.1+1.7</f>
        <v>40.00000000000001</v>
      </c>
      <c r="BP82" s="239">
        <f>12.7+4.1+0.081+100+0.4+0.146+1.4</f>
        <v>118.82700000000001</v>
      </c>
      <c r="BQ82" s="239">
        <f>23.3+1+120.2+7+3.5+58.5</f>
        <v>213.5</v>
      </c>
      <c r="BR82" s="239">
        <f>51+0.2+0.7+3+34.3</f>
        <v>89.2</v>
      </c>
      <c r="BS82" s="239">
        <f>SUM(BG82:BR82)</f>
        <v>780.7940000000001</v>
      </c>
      <c r="BT82" s="239">
        <f t="shared" si="33"/>
        <v>780.7940000000001</v>
      </c>
      <c r="BU82" s="239">
        <v>31</v>
      </c>
      <c r="BV82" s="239">
        <v>47.1</v>
      </c>
      <c r="BW82" s="239">
        <v>127</v>
      </c>
      <c r="BX82" s="239">
        <v>34</v>
      </c>
      <c r="BY82" s="239">
        <v>38.4</v>
      </c>
      <c r="BZ82" s="239">
        <v>75</v>
      </c>
      <c r="CA82" s="239">
        <v>82.3</v>
      </c>
      <c r="CB82" s="239">
        <v>30</v>
      </c>
      <c r="CC82" s="239">
        <v>2</v>
      </c>
      <c r="CD82" s="239">
        <v>8.9</v>
      </c>
      <c r="CE82" s="239">
        <v>6</v>
      </c>
      <c r="CF82" s="239">
        <v>31.8</v>
      </c>
      <c r="CG82" s="239">
        <f t="shared" si="26"/>
        <v>513.5</v>
      </c>
      <c r="CH82" s="239">
        <v>30</v>
      </c>
      <c r="CI82" s="239">
        <v>7</v>
      </c>
      <c r="CJ82" s="239">
        <v>43.4</v>
      </c>
      <c r="CK82" s="239">
        <v>12</v>
      </c>
      <c r="CL82" s="239">
        <v>15</v>
      </c>
      <c r="CM82" s="239">
        <v>32</v>
      </c>
      <c r="CN82" s="239">
        <v>38</v>
      </c>
      <c r="CO82" s="239">
        <f>9+1+16+1</f>
        <v>27</v>
      </c>
      <c r="CP82" s="239">
        <v>95.091</v>
      </c>
      <c r="CQ82" s="239">
        <v>454.4</v>
      </c>
      <c r="CR82" s="239">
        <v>41</v>
      </c>
      <c r="CS82" s="239">
        <v>211</v>
      </c>
      <c r="CT82" s="239">
        <f t="shared" si="34"/>
        <v>1005.891</v>
      </c>
      <c r="CU82" s="239">
        <f>1+13+170+1</f>
        <v>185</v>
      </c>
      <c r="CV82" s="239">
        <f>2+2+12+20+0.1</f>
        <v>36.1</v>
      </c>
      <c r="CW82" s="239">
        <f>11+0.3+0.2+4.2+12.8+2.3+0.1+0.7+8.3+0.1+0.3+1+0.6+0.4+0.2</f>
        <v>42.50000000000001</v>
      </c>
      <c r="CX82" s="239">
        <f>0.6+0.1+12.5+30+3</f>
        <v>46.2</v>
      </c>
      <c r="CY82" s="239">
        <v>16.2</v>
      </c>
      <c r="CZ82" s="239">
        <f>4042.8+25+538.9+28.2</f>
        <v>4634.9</v>
      </c>
      <c r="DA82" s="239">
        <v>1052.2</v>
      </c>
      <c r="DB82" s="239">
        <f>325.12+13.18</f>
        <v>338.3</v>
      </c>
      <c r="DC82" s="239">
        <f>1.2+12.15+0.11+25+27</f>
        <v>65.46000000000001</v>
      </c>
      <c r="DD82" s="239">
        <v>141.85399999999998</v>
      </c>
      <c r="DE82" s="239">
        <v>102.58</v>
      </c>
      <c r="DF82" s="239">
        <f>10+23+1+25+50</f>
        <v>109</v>
      </c>
      <c r="DG82" s="239">
        <f t="shared" si="35"/>
        <v>6770.294</v>
      </c>
      <c r="DH82" s="239">
        <v>68.306</v>
      </c>
      <c r="DI82" s="239">
        <v>125.733</v>
      </c>
      <c r="DJ82" s="239">
        <v>37.878</v>
      </c>
      <c r="DK82" s="239">
        <f>0.2+1.8+4+0.2+4+6+2.4+14+27+1.9+89</f>
        <v>150.5</v>
      </c>
      <c r="DL82" s="239">
        <f>0.665+2.1+0.95+24.5+1+22+16.5+1+1-0.9</f>
        <v>68.815</v>
      </c>
      <c r="DM82" s="239">
        <f>1.3+3.5+508.5+3.4+16.5+0.1+0.2+3+0.6</f>
        <v>537.1</v>
      </c>
      <c r="DN82" s="239">
        <v>196.2</v>
      </c>
      <c r="DO82" s="239">
        <v>480.7</v>
      </c>
      <c r="DP82" s="239">
        <v>238.2</v>
      </c>
      <c r="DQ82" s="239">
        <v>93.7</v>
      </c>
      <c r="DR82" s="239">
        <v>278.8</v>
      </c>
      <c r="DS82" s="239">
        <f>0.5+70+0.4+0.9+60+15</f>
        <v>146.8</v>
      </c>
      <c r="DT82" s="239">
        <f t="shared" si="27"/>
        <v>2422.7320000000004</v>
      </c>
      <c r="DU82" s="239">
        <v>239.8410000000003</v>
      </c>
      <c r="DV82" s="239">
        <v>54.44200000000001</v>
      </c>
      <c r="DW82" s="239">
        <v>348.6449999999995</v>
      </c>
      <c r="DX82" s="239">
        <v>309.877</v>
      </c>
      <c r="DY82" s="239">
        <v>1694.627</v>
      </c>
      <c r="DZ82" s="239">
        <v>928.455</v>
      </c>
      <c r="EA82" s="239">
        <v>1881.8869999999993</v>
      </c>
      <c r="EB82" s="239">
        <v>1315.79</v>
      </c>
      <c r="EC82" s="239">
        <v>1141.284000000001</v>
      </c>
      <c r="ED82" s="239">
        <v>1169.087</v>
      </c>
      <c r="EE82" s="239">
        <v>2122.407000000001</v>
      </c>
      <c r="EF82" s="239">
        <f>983.386</f>
        <v>983.386</v>
      </c>
      <c r="EG82" s="239">
        <f t="shared" si="22"/>
        <v>12189.728000000001</v>
      </c>
      <c r="EH82" s="239">
        <v>1958.0230000000001</v>
      </c>
      <c r="EI82" s="239">
        <v>1349.286</v>
      </c>
      <c r="EJ82" s="239">
        <v>1406.6080000000006</v>
      </c>
      <c r="EK82" s="239">
        <v>1738.1150000000002</v>
      </c>
      <c r="EL82" s="239">
        <v>3047.089</v>
      </c>
      <c r="EM82" s="239">
        <v>2552.2870000000003</v>
      </c>
      <c r="EN82" s="239">
        <v>1995.3809999999994</v>
      </c>
      <c r="EO82" s="239">
        <v>2751.4180000000006</v>
      </c>
      <c r="EP82" s="239">
        <v>2293.5099999999993</v>
      </c>
      <c r="EQ82" s="239">
        <v>1819.0659999999998</v>
      </c>
      <c r="ER82" s="239">
        <v>1568.696</v>
      </c>
      <c r="ES82" s="239">
        <v>1921.7430000000013</v>
      </c>
      <c r="ET82" s="239">
        <f t="shared" si="28"/>
        <v>12189.728000000001</v>
      </c>
      <c r="EU82" s="239">
        <f t="shared" si="23"/>
        <v>24401.222</v>
      </c>
      <c r="EV82" s="239">
        <v>1241.1680000000006</v>
      </c>
      <c r="EW82" s="239">
        <v>2041.2089999999994</v>
      </c>
      <c r="EX82" s="239">
        <v>2148.5420000000004</v>
      </c>
      <c r="EY82" s="239">
        <v>2106.678000000001</v>
      </c>
      <c r="EZ82" s="239">
        <v>1206.201</v>
      </c>
      <c r="FA82" s="239">
        <v>1667.5500000000002</v>
      </c>
      <c r="FB82" s="239">
        <v>1634.3840000000005</v>
      </c>
      <c r="FC82" s="239">
        <v>1621.7780000000012</v>
      </c>
      <c r="FD82" s="239">
        <v>1424.2660000000005</v>
      </c>
      <c r="FE82" s="239">
        <v>2214.9540000000006</v>
      </c>
      <c r="FF82" s="239">
        <v>1672.8980000000001</v>
      </c>
      <c r="FG82" s="287">
        <v>1906.1089999999995</v>
      </c>
      <c r="FH82" s="239">
        <v>1693.8650000000007</v>
      </c>
      <c r="FI82" s="239">
        <v>1765.5290000000014</v>
      </c>
      <c r="FJ82" s="239">
        <v>2304.9040000000005</v>
      </c>
      <c r="FK82" s="239">
        <v>1199.5759999999996</v>
      </c>
      <c r="FL82" s="239">
        <v>1862.604116448098</v>
      </c>
      <c r="FM82" s="239">
        <v>1359.1110000000003</v>
      </c>
      <c r="FN82" s="239">
        <v>2913.358</v>
      </c>
      <c r="FO82" s="239">
        <v>1436.5690000000013</v>
      </c>
      <c r="FP82" s="239">
        <v>1786.621</v>
      </c>
      <c r="FQ82" s="239">
        <v>1834.5140000000001</v>
      </c>
      <c r="FR82" s="239">
        <v>1704.0879999999988</v>
      </c>
      <c r="FS82" s="239">
        <v>1837.6119999999987</v>
      </c>
      <c r="FT82" s="239">
        <v>1263.8370000000004</v>
      </c>
      <c r="FU82" s="239">
        <v>1682.679</v>
      </c>
      <c r="FV82" s="239">
        <v>1525.8539999999994</v>
      </c>
      <c r="FW82" s="239">
        <v>1569.737000000002</v>
      </c>
      <c r="FX82" s="239">
        <v>1679.360999999998</v>
      </c>
      <c r="FY82" s="239">
        <v>2323.849</v>
      </c>
      <c r="FZ82" s="239">
        <v>2161.3320000000003</v>
      </c>
      <c r="GA82" s="239">
        <v>2259.9979999999996</v>
      </c>
      <c r="GB82" s="239">
        <v>2330.081000000002</v>
      </c>
      <c r="GC82" s="239">
        <v>1743.9749999999995</v>
      </c>
      <c r="GD82" s="239">
        <v>2394.4439999999986</v>
      </c>
      <c r="GE82" s="239">
        <v>1710.3599999999988</v>
      </c>
      <c r="GF82" s="239">
        <v>1842.310000000002</v>
      </c>
      <c r="GG82" s="239">
        <v>2162.193</v>
      </c>
      <c r="GH82" s="239">
        <v>3387.6299999999997</v>
      </c>
      <c r="GI82" s="239">
        <v>2971.184</v>
      </c>
      <c r="GJ82" s="239"/>
      <c r="GK82" s="239"/>
      <c r="GL82" s="239"/>
      <c r="GM82" s="239"/>
      <c r="GN82" s="239"/>
      <c r="GO82" s="239"/>
      <c r="GP82" s="239"/>
      <c r="GQ82" s="239"/>
      <c r="GR82" s="239">
        <f t="shared" si="29"/>
        <v>6042.107000000002</v>
      </c>
      <c r="GS82" s="239">
        <f t="shared" si="30"/>
        <v>10363.317000000003</v>
      </c>
    </row>
    <row r="83" spans="1:201" ht="18">
      <c r="A83" s="92"/>
      <c r="B83" s="92"/>
      <c r="C83" s="156"/>
      <c r="D83" s="156"/>
      <c r="E83" s="156"/>
      <c r="F83" s="156"/>
      <c r="G83" s="156"/>
      <c r="H83" s="156"/>
      <c r="I83" s="53"/>
      <c r="J83" s="19"/>
      <c r="K83" s="53"/>
      <c r="L83" s="157"/>
      <c r="M83" s="157"/>
      <c r="N83" s="157"/>
      <c r="O83" s="158"/>
      <c r="P83" s="159"/>
      <c r="Q83" s="160"/>
      <c r="R83" s="70"/>
      <c r="S83" s="159"/>
      <c r="T83" s="138"/>
      <c r="U83" s="138"/>
      <c r="V83" s="159"/>
      <c r="W83" s="161"/>
      <c r="X83" s="162"/>
      <c r="Y83" s="53"/>
      <c r="Z83" s="53"/>
      <c r="AA83" s="53"/>
      <c r="AB83" s="32"/>
      <c r="AC83" s="32"/>
      <c r="AD83" s="247"/>
      <c r="AE83" s="239"/>
      <c r="AF83" s="239"/>
      <c r="AG83" s="157"/>
      <c r="AH83" s="140"/>
      <c r="AI83" s="163"/>
      <c r="AJ83" s="163"/>
      <c r="AK83" s="163"/>
      <c r="AL83" s="163"/>
      <c r="AM83" s="163"/>
      <c r="AN83" s="163"/>
      <c r="AO83" s="163"/>
      <c r="AP83" s="163"/>
      <c r="AQ83" s="163"/>
      <c r="AR83" s="164"/>
      <c r="AS83" s="157">
        <f t="shared" si="24"/>
        <v>0</v>
      </c>
      <c r="AT83" s="157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241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242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53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243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36"/>
      <c r="DV83" s="136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239"/>
      <c r="EH83" s="48"/>
      <c r="EI83" s="34"/>
      <c r="EJ83" s="32"/>
      <c r="EK83" s="32"/>
      <c r="EL83" s="35"/>
      <c r="EM83" s="35"/>
      <c r="EN83" s="35"/>
      <c r="EO83" s="35"/>
      <c r="EP83" s="35"/>
      <c r="EQ83" s="35"/>
      <c r="ER83" s="35"/>
      <c r="ES83" s="35"/>
      <c r="ET83" s="34"/>
      <c r="EU83" s="24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288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239"/>
      <c r="FT83" s="239"/>
      <c r="FU83" s="239"/>
      <c r="FV83" s="239"/>
      <c r="FW83" s="239"/>
      <c r="FX83" s="239"/>
      <c r="FY83" s="239"/>
      <c r="FZ83" s="239"/>
      <c r="GA83" s="239"/>
      <c r="GB83" s="239"/>
      <c r="GC83" s="239"/>
      <c r="GD83" s="239"/>
      <c r="GE83" s="239"/>
      <c r="GF83" s="239"/>
      <c r="GG83" s="239"/>
      <c r="GH83" s="239"/>
      <c r="GI83" s="239"/>
      <c r="GJ83" s="239"/>
      <c r="GK83" s="239"/>
      <c r="GL83" s="239"/>
      <c r="GM83" s="239"/>
      <c r="GN83" s="239"/>
      <c r="GO83" s="239"/>
      <c r="GP83" s="239"/>
      <c r="GQ83" s="239"/>
      <c r="GR83" s="34"/>
      <c r="GS83" s="34"/>
    </row>
    <row r="84" spans="1:203" ht="15.75">
      <c r="A84" s="23"/>
      <c r="B84" s="21"/>
      <c r="C84" s="142"/>
      <c r="D84" s="142"/>
      <c r="E84" s="142"/>
      <c r="F84" s="142"/>
      <c r="G84" s="142"/>
      <c r="H84" s="142"/>
      <c r="I84" s="34"/>
      <c r="J84" s="35"/>
      <c r="K84" s="34"/>
      <c r="L84" s="136"/>
      <c r="M84" s="136"/>
      <c r="N84" s="137"/>
      <c r="O84" s="153"/>
      <c r="P84" s="70"/>
      <c r="Q84" s="139"/>
      <c r="R84" s="139"/>
      <c r="S84" s="70"/>
      <c r="T84" s="139"/>
      <c r="U84" s="167"/>
      <c r="V84" s="70"/>
      <c r="W84" s="168"/>
      <c r="X84" s="169"/>
      <c r="Y84" s="43"/>
      <c r="Z84" s="21"/>
      <c r="AA84" s="21"/>
      <c r="AB84" s="23"/>
      <c r="AC84" s="9"/>
      <c r="AD84" s="239"/>
      <c r="AE84" s="290"/>
      <c r="AF84" s="290"/>
      <c r="AG84" s="70"/>
      <c r="AH84" s="170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70">
        <f t="shared" si="24"/>
        <v>0</v>
      </c>
      <c r="AT84" s="70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71"/>
      <c r="BG84" s="70"/>
      <c r="BH84" s="70"/>
      <c r="BI84" s="70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69"/>
      <c r="BU84" s="168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70"/>
      <c r="CH84" s="59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172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28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3"/>
      <c r="DX84" s="23"/>
      <c r="DY84" s="23"/>
      <c r="DZ84" s="23"/>
      <c r="EA84" s="25"/>
      <c r="EB84" s="23"/>
      <c r="EC84" s="23"/>
      <c r="ED84" s="23"/>
      <c r="EE84" s="23"/>
      <c r="EF84" s="23"/>
      <c r="EG84" s="230"/>
      <c r="EH84" s="23"/>
      <c r="EI84" s="23"/>
      <c r="EJ84" s="9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196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81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74"/>
      <c r="FT84" s="274"/>
      <c r="FU84" s="274"/>
      <c r="FV84" s="274"/>
      <c r="FW84" s="274"/>
      <c r="FX84" s="274"/>
      <c r="FY84" s="274"/>
      <c r="FZ84" s="274"/>
      <c r="GA84" s="274"/>
      <c r="GB84" s="274"/>
      <c r="GC84" s="274"/>
      <c r="GD84" s="274"/>
      <c r="GE84" s="274"/>
      <c r="GF84" s="274"/>
      <c r="GG84" s="274"/>
      <c r="GH84" s="274"/>
      <c r="GI84" s="274"/>
      <c r="GJ84" s="274"/>
      <c r="GK84" s="274"/>
      <c r="GL84" s="274"/>
      <c r="GM84" s="274"/>
      <c r="GN84" s="274"/>
      <c r="GO84" s="274"/>
      <c r="GP84" s="274"/>
      <c r="GQ84" s="274"/>
      <c r="GR84" s="23"/>
      <c r="GS84" s="23"/>
      <c r="GU84" s="234"/>
    </row>
    <row r="85" spans="1:201" s="4" customFormat="1" ht="15.75">
      <c r="A85" s="291"/>
      <c r="B85" s="173" t="s">
        <v>55</v>
      </c>
      <c r="C85" s="174">
        <f>SUM(C51:C82)</f>
        <v>54174</v>
      </c>
      <c r="D85" s="174">
        <f>SUM(D51:D82)</f>
        <v>0</v>
      </c>
      <c r="E85" s="174">
        <f>SUM(E51:E82)</f>
        <v>44763</v>
      </c>
      <c r="F85" s="174">
        <f>SUM(F51:F82)</f>
        <v>51533</v>
      </c>
      <c r="G85" s="174">
        <f>SUM(G51:G82)</f>
        <v>64272</v>
      </c>
      <c r="H85" s="174">
        <f aca="true" t="shared" si="36" ref="H85:S85">SUM(H51:H84)</f>
        <v>38483</v>
      </c>
      <c r="I85" s="174">
        <f t="shared" si="36"/>
        <v>42810</v>
      </c>
      <c r="J85" s="175">
        <f t="shared" si="36"/>
        <v>44533</v>
      </c>
      <c r="K85" s="174">
        <f t="shared" si="36"/>
        <v>24946</v>
      </c>
      <c r="L85" s="176">
        <f t="shared" si="36"/>
        <v>39617</v>
      </c>
      <c r="M85" s="176">
        <f t="shared" si="36"/>
        <v>30635</v>
      </c>
      <c r="N85" s="137">
        <f t="shared" si="36"/>
        <v>32684</v>
      </c>
      <c r="O85" s="177">
        <f t="shared" si="36"/>
        <v>37581</v>
      </c>
      <c r="P85" s="178">
        <f t="shared" si="36"/>
        <v>37689</v>
      </c>
      <c r="Q85" s="144">
        <f t="shared" si="36"/>
        <v>34758</v>
      </c>
      <c r="R85" s="144">
        <f t="shared" si="36"/>
        <v>41657</v>
      </c>
      <c r="S85" s="144">
        <f t="shared" si="36"/>
        <v>42948.520000000004</v>
      </c>
      <c r="T85" s="179">
        <f aca="true" t="shared" si="37" ref="T85:BI85">SUM(T52:T82)</f>
        <v>46261.880000000005</v>
      </c>
      <c r="U85" s="179">
        <f t="shared" si="37"/>
        <v>32677.125999999997</v>
      </c>
      <c r="V85" s="179">
        <f t="shared" si="37"/>
        <v>39175.191999999995</v>
      </c>
      <c r="W85" s="179">
        <f t="shared" si="37"/>
        <v>38231</v>
      </c>
      <c r="X85" s="171">
        <f t="shared" si="37"/>
        <v>37805.595</v>
      </c>
      <c r="Y85" s="171">
        <f t="shared" si="37"/>
        <v>38998.079000000005</v>
      </c>
      <c r="Z85" s="171">
        <f t="shared" si="37"/>
        <v>47475.5005</v>
      </c>
      <c r="AA85" s="171">
        <f t="shared" si="37"/>
        <v>52300.06220000001</v>
      </c>
      <c r="AB85" s="171">
        <f t="shared" si="37"/>
        <v>58439.50960000001</v>
      </c>
      <c r="AC85" s="171">
        <f t="shared" si="37"/>
        <v>82825.13399999999</v>
      </c>
      <c r="AD85" s="171">
        <f t="shared" si="37"/>
        <v>85757.51800000001</v>
      </c>
      <c r="AE85" s="171">
        <f t="shared" si="37"/>
        <v>84613.52411644811</v>
      </c>
      <c r="AF85" s="179">
        <f t="shared" si="37"/>
        <v>93124.90017</v>
      </c>
      <c r="AG85" s="171">
        <f t="shared" si="37"/>
        <v>1346.78</v>
      </c>
      <c r="AH85" s="171">
        <f t="shared" si="37"/>
        <v>2259.94</v>
      </c>
      <c r="AI85" s="171">
        <f t="shared" si="37"/>
        <v>1499.62</v>
      </c>
      <c r="AJ85" s="171">
        <f t="shared" si="37"/>
        <v>1401.1799999999998</v>
      </c>
      <c r="AK85" s="171">
        <f t="shared" si="37"/>
        <v>1635.9</v>
      </c>
      <c r="AL85" s="171">
        <f t="shared" si="37"/>
        <v>1815.38</v>
      </c>
      <c r="AM85" s="171">
        <f t="shared" si="37"/>
        <v>1254.2</v>
      </c>
      <c r="AN85" s="171">
        <f t="shared" si="37"/>
        <v>3663.86</v>
      </c>
      <c r="AO85" s="171">
        <f t="shared" si="37"/>
        <v>3352.08</v>
      </c>
      <c r="AP85" s="171">
        <f t="shared" si="37"/>
        <v>5046.9</v>
      </c>
      <c r="AQ85" s="171">
        <f t="shared" si="37"/>
        <v>3939.9260000000004</v>
      </c>
      <c r="AR85" s="171">
        <f t="shared" si="37"/>
        <v>5460.26</v>
      </c>
      <c r="AS85" s="171">
        <f t="shared" si="37"/>
        <v>32677.125999999997</v>
      </c>
      <c r="AT85" s="171">
        <f t="shared" si="37"/>
        <v>3736.32</v>
      </c>
      <c r="AU85" s="171">
        <f t="shared" si="37"/>
        <v>2030.1259999999997</v>
      </c>
      <c r="AV85" s="171">
        <f t="shared" si="37"/>
        <v>3344.2549999999997</v>
      </c>
      <c r="AW85" s="171">
        <f t="shared" si="37"/>
        <v>6111.88</v>
      </c>
      <c r="AX85" s="171">
        <f t="shared" si="37"/>
        <v>2543.0420000000004</v>
      </c>
      <c r="AY85" s="171">
        <f t="shared" si="37"/>
        <v>3851.454</v>
      </c>
      <c r="AZ85" s="171">
        <f t="shared" si="37"/>
        <v>1638.5900000000001</v>
      </c>
      <c r="BA85" s="171">
        <f t="shared" si="37"/>
        <v>1483.025</v>
      </c>
      <c r="BB85" s="171">
        <f t="shared" si="37"/>
        <v>3880.1</v>
      </c>
      <c r="BC85" s="171">
        <f t="shared" si="37"/>
        <v>4455.25</v>
      </c>
      <c r="BD85" s="171">
        <f t="shared" si="37"/>
        <v>4428.738</v>
      </c>
      <c r="BE85" s="171">
        <f t="shared" si="37"/>
        <v>1672.4119999999998</v>
      </c>
      <c r="BF85" s="171">
        <f t="shared" si="37"/>
        <v>39175.191999999995</v>
      </c>
      <c r="BG85" s="171">
        <f t="shared" si="37"/>
        <v>3029.56</v>
      </c>
      <c r="BH85" s="171">
        <f t="shared" si="37"/>
        <v>3249.73</v>
      </c>
      <c r="BI85" s="171">
        <f t="shared" si="37"/>
        <v>982.731</v>
      </c>
      <c r="BJ85" s="171">
        <f aca="true" t="shared" si="38" ref="BJ85:DU85">SUM(BJ52:BJ82)</f>
        <v>1455.623</v>
      </c>
      <c r="BK85" s="171">
        <f t="shared" si="38"/>
        <v>1629.808</v>
      </c>
      <c r="BL85" s="171">
        <f t="shared" si="38"/>
        <v>3494.125</v>
      </c>
      <c r="BM85" s="171">
        <f t="shared" si="38"/>
        <v>3293.133</v>
      </c>
      <c r="BN85" s="171">
        <f t="shared" si="38"/>
        <v>4235.09</v>
      </c>
      <c r="BO85" s="171">
        <f t="shared" si="38"/>
        <v>3749.8</v>
      </c>
      <c r="BP85" s="171">
        <f t="shared" si="38"/>
        <v>3400.1620000000007</v>
      </c>
      <c r="BQ85" s="171">
        <f t="shared" si="38"/>
        <v>6080.519</v>
      </c>
      <c r="BR85" s="171">
        <f t="shared" si="38"/>
        <v>3631.3999999999996</v>
      </c>
      <c r="BS85" s="171">
        <f t="shared" si="38"/>
        <v>38231.681</v>
      </c>
      <c r="BT85" s="171">
        <f t="shared" si="38"/>
        <v>38231.681</v>
      </c>
      <c r="BU85" s="171">
        <f t="shared" si="38"/>
        <v>3506.42</v>
      </c>
      <c r="BV85" s="171">
        <f t="shared" si="38"/>
        <v>5493.72</v>
      </c>
      <c r="BW85" s="171">
        <f t="shared" si="38"/>
        <v>4031.96</v>
      </c>
      <c r="BX85" s="171">
        <f t="shared" si="38"/>
        <v>6258.79</v>
      </c>
      <c r="BY85" s="171">
        <f t="shared" si="38"/>
        <v>2563.9249999999997</v>
      </c>
      <c r="BZ85" s="171">
        <f t="shared" si="38"/>
        <v>2363.04</v>
      </c>
      <c r="CA85" s="171">
        <f t="shared" si="38"/>
        <v>1802.36</v>
      </c>
      <c r="CB85" s="171">
        <f t="shared" si="38"/>
        <v>2750.08</v>
      </c>
      <c r="CC85" s="171">
        <f t="shared" si="38"/>
        <v>3056.6</v>
      </c>
      <c r="CD85" s="171">
        <f t="shared" si="38"/>
        <v>2209.9</v>
      </c>
      <c r="CE85" s="171">
        <f t="shared" si="38"/>
        <v>1552</v>
      </c>
      <c r="CF85" s="171">
        <f t="shared" si="38"/>
        <v>2216.8</v>
      </c>
      <c r="CG85" s="171">
        <f t="shared" si="38"/>
        <v>37805.595</v>
      </c>
      <c r="CH85" s="171">
        <f t="shared" si="38"/>
        <v>1189</v>
      </c>
      <c r="CI85" s="171">
        <f t="shared" si="38"/>
        <v>1877</v>
      </c>
      <c r="CJ85" s="171">
        <f t="shared" si="38"/>
        <v>1692.4</v>
      </c>
      <c r="CK85" s="171">
        <f t="shared" si="38"/>
        <v>1430</v>
      </c>
      <c r="CL85" s="171">
        <f t="shared" si="38"/>
        <v>1635.6</v>
      </c>
      <c r="CM85" s="171">
        <f t="shared" si="38"/>
        <v>1675.5610000000004</v>
      </c>
      <c r="CN85" s="171">
        <f t="shared" si="38"/>
        <v>3668.75</v>
      </c>
      <c r="CO85" s="171">
        <f t="shared" si="38"/>
        <v>5815.96</v>
      </c>
      <c r="CP85" s="171">
        <f t="shared" si="38"/>
        <v>3970.334</v>
      </c>
      <c r="CQ85" s="171">
        <f t="shared" si="38"/>
        <v>5067.474</v>
      </c>
      <c r="CR85" s="171">
        <f t="shared" si="38"/>
        <v>4935</v>
      </c>
      <c r="CS85" s="171">
        <f t="shared" si="38"/>
        <v>6041</v>
      </c>
      <c r="CT85" s="171">
        <f t="shared" si="38"/>
        <v>38998.079000000005</v>
      </c>
      <c r="CU85" s="171">
        <f t="shared" si="38"/>
        <v>2715.7039999999997</v>
      </c>
      <c r="CV85" s="171">
        <f t="shared" si="38"/>
        <v>3100.0285</v>
      </c>
      <c r="CW85" s="171">
        <f t="shared" si="38"/>
        <v>3411.8585</v>
      </c>
      <c r="CX85" s="171">
        <f t="shared" si="38"/>
        <v>4260.1630000000005</v>
      </c>
      <c r="CY85" s="171">
        <f t="shared" si="38"/>
        <v>2766.2214999999997</v>
      </c>
      <c r="CZ85" s="171">
        <f t="shared" si="38"/>
        <v>6516.2294999999995</v>
      </c>
      <c r="DA85" s="171">
        <f t="shared" si="38"/>
        <v>4195.2075</v>
      </c>
      <c r="DB85" s="171">
        <f t="shared" si="38"/>
        <v>3694.464</v>
      </c>
      <c r="DC85" s="171">
        <f t="shared" si="38"/>
        <v>5807.634</v>
      </c>
      <c r="DD85" s="171">
        <f t="shared" si="38"/>
        <v>4301.306999999999</v>
      </c>
      <c r="DE85" s="171">
        <f t="shared" si="38"/>
        <v>3502.2125</v>
      </c>
      <c r="DF85" s="171">
        <f t="shared" si="38"/>
        <v>3204.4705</v>
      </c>
      <c r="DG85" s="171">
        <f t="shared" si="38"/>
        <v>47475.5005</v>
      </c>
      <c r="DH85" s="171">
        <f t="shared" si="38"/>
        <v>3279.1814999999997</v>
      </c>
      <c r="DI85" s="171">
        <f t="shared" si="38"/>
        <v>2291.3594999999996</v>
      </c>
      <c r="DJ85" s="171">
        <f t="shared" si="38"/>
        <v>3529.922</v>
      </c>
      <c r="DK85" s="171">
        <f t="shared" si="38"/>
        <v>2432.06</v>
      </c>
      <c r="DL85" s="171">
        <f t="shared" si="38"/>
        <v>2832.7332</v>
      </c>
      <c r="DM85" s="171">
        <f t="shared" si="38"/>
        <v>3292</v>
      </c>
      <c r="DN85" s="171">
        <f t="shared" si="38"/>
        <v>4878.400000000001</v>
      </c>
      <c r="DO85" s="171">
        <f t="shared" si="38"/>
        <v>5779.0019999999995</v>
      </c>
      <c r="DP85" s="171">
        <f t="shared" si="38"/>
        <v>5907.584999999999</v>
      </c>
      <c r="DQ85" s="171">
        <f t="shared" si="38"/>
        <v>6419.712</v>
      </c>
      <c r="DR85" s="171">
        <f t="shared" si="38"/>
        <v>6565.627</v>
      </c>
      <c r="DS85" s="171">
        <f t="shared" si="38"/>
        <v>5092.4800000000005</v>
      </c>
      <c r="DT85" s="171">
        <f t="shared" si="38"/>
        <v>52300.06220000001</v>
      </c>
      <c r="DU85" s="171">
        <f t="shared" si="38"/>
        <v>4387.264999999999</v>
      </c>
      <c r="DV85" s="171">
        <f aca="true" t="shared" si="39" ref="DV85:EF85">SUM(DV52:DV82)</f>
        <v>2965.763</v>
      </c>
      <c r="DW85" s="171">
        <f t="shared" si="39"/>
        <v>3549.9885</v>
      </c>
      <c r="DX85" s="171">
        <f t="shared" si="39"/>
        <v>2780.5480000000002</v>
      </c>
      <c r="DY85" s="171">
        <f t="shared" si="39"/>
        <v>4274.758</v>
      </c>
      <c r="DZ85" s="171">
        <f t="shared" si="39"/>
        <v>3557.7419999999997</v>
      </c>
      <c r="EA85" s="171">
        <f t="shared" si="39"/>
        <v>5160.6541</v>
      </c>
      <c r="EB85" s="171">
        <f t="shared" si="39"/>
        <v>5293.763</v>
      </c>
      <c r="EC85" s="171">
        <f t="shared" si="39"/>
        <v>5712.517</v>
      </c>
      <c r="ED85" s="171">
        <f t="shared" si="39"/>
        <v>7313.673000000001</v>
      </c>
      <c r="EE85" s="171">
        <f t="shared" si="39"/>
        <v>7025.742000000001</v>
      </c>
      <c r="EF85" s="171">
        <f t="shared" si="39"/>
        <v>6417.096</v>
      </c>
      <c r="EG85" s="194">
        <f aca="true" t="shared" si="40" ref="EG85:ES85">SUM(EG52:EG82)</f>
        <v>58439.50960000001</v>
      </c>
      <c r="EH85" s="226">
        <f t="shared" si="40"/>
        <v>5974.16</v>
      </c>
      <c r="EI85" s="226">
        <f t="shared" si="40"/>
        <v>5345.5045</v>
      </c>
      <c r="EJ85" s="233">
        <f t="shared" si="40"/>
        <v>5168.613</v>
      </c>
      <c r="EK85" s="226">
        <f t="shared" si="40"/>
        <v>5801.599</v>
      </c>
      <c r="EL85" s="226">
        <f t="shared" si="40"/>
        <v>7656.051</v>
      </c>
      <c r="EM85" s="226">
        <f t="shared" si="40"/>
        <v>6322.4310000000005</v>
      </c>
      <c r="EN85" s="226">
        <f t="shared" si="40"/>
        <v>7616.424</v>
      </c>
      <c r="EO85" s="194">
        <f t="shared" si="40"/>
        <v>7750.482</v>
      </c>
      <c r="EP85" s="194">
        <f t="shared" si="40"/>
        <v>7640.7699999999995</v>
      </c>
      <c r="EQ85" s="194">
        <f t="shared" si="40"/>
        <v>8097.423</v>
      </c>
      <c r="ER85" s="194">
        <f t="shared" si="40"/>
        <v>7637.6305</v>
      </c>
      <c r="ES85" s="235">
        <f t="shared" si="40"/>
        <v>7814.046000000001</v>
      </c>
      <c r="ET85" s="194">
        <f aca="true" t="shared" si="41" ref="ET85:FR85">SUM(ET52:ET82)</f>
        <v>58439.50960000001</v>
      </c>
      <c r="EU85" s="194">
        <f t="shared" si="41"/>
        <v>82825.13399999999</v>
      </c>
      <c r="EV85" s="194">
        <f t="shared" si="41"/>
        <v>6112.171</v>
      </c>
      <c r="EW85" s="194">
        <f t="shared" si="41"/>
        <v>6878.826999999999</v>
      </c>
      <c r="EX85" s="194">
        <f t="shared" si="41"/>
        <v>6887.783999999999</v>
      </c>
      <c r="EY85" s="194">
        <f t="shared" si="41"/>
        <v>6206.929000000001</v>
      </c>
      <c r="EZ85" s="194">
        <f t="shared" si="41"/>
        <v>4884.016</v>
      </c>
      <c r="FA85" s="194">
        <f t="shared" si="41"/>
        <v>6710.371</v>
      </c>
      <c r="FB85" s="194">
        <f t="shared" si="41"/>
        <v>6459.7880000000005</v>
      </c>
      <c r="FC85" s="194">
        <f t="shared" si="41"/>
        <v>7744.233</v>
      </c>
      <c r="FD85" s="194">
        <f t="shared" si="41"/>
        <v>8078.985</v>
      </c>
      <c r="FE85" s="194">
        <f t="shared" si="41"/>
        <v>8733.38</v>
      </c>
      <c r="FF85" s="194">
        <f t="shared" si="41"/>
        <v>8186.617</v>
      </c>
      <c r="FG85" s="289">
        <f t="shared" si="41"/>
        <v>8874.417</v>
      </c>
      <c r="FH85" s="226">
        <f t="shared" si="41"/>
        <v>7619.987000000001</v>
      </c>
      <c r="FI85" s="226">
        <f t="shared" si="41"/>
        <v>8466.403999999999</v>
      </c>
      <c r="FJ85" s="226">
        <f t="shared" si="41"/>
        <v>7240.5470000000005</v>
      </c>
      <c r="FK85" s="226">
        <f t="shared" si="41"/>
        <v>6311.109</v>
      </c>
      <c r="FL85" s="226">
        <f t="shared" si="41"/>
        <v>6583.5771164480975</v>
      </c>
      <c r="FM85" s="226">
        <f t="shared" si="41"/>
        <v>5520.4400000000005</v>
      </c>
      <c r="FN85" s="226">
        <f t="shared" si="41"/>
        <v>7703.332</v>
      </c>
      <c r="FO85" s="226">
        <f t="shared" si="41"/>
        <v>7471.795</v>
      </c>
      <c r="FP85" s="226">
        <f t="shared" si="41"/>
        <v>7402.313000000001</v>
      </c>
      <c r="FQ85" s="226">
        <f t="shared" si="41"/>
        <v>6238.246</v>
      </c>
      <c r="FR85" s="226">
        <f t="shared" si="41"/>
        <v>6438.795999999999</v>
      </c>
      <c r="FS85" s="226">
        <f>SUM(FS52:FS84)</f>
        <v>7616.977999999999</v>
      </c>
      <c r="FT85" s="226">
        <f aca="true" t="shared" si="42" ref="FT85:GS85">SUM(FT52:FT84)</f>
        <v>6906.456</v>
      </c>
      <c r="FU85" s="226">
        <f t="shared" si="42"/>
        <v>7213.863179999999</v>
      </c>
      <c r="FV85" s="226">
        <f t="shared" si="42"/>
        <v>7612.849</v>
      </c>
      <c r="FW85" s="226">
        <f t="shared" si="42"/>
        <v>6646.285000000003</v>
      </c>
      <c r="FX85" s="226">
        <f t="shared" si="42"/>
        <v>9330.719</v>
      </c>
      <c r="FY85" s="226">
        <f t="shared" si="42"/>
        <v>6375.436</v>
      </c>
      <c r="FZ85" s="226">
        <f t="shared" si="42"/>
        <v>7367.388</v>
      </c>
      <c r="GA85" s="226">
        <f t="shared" si="42"/>
        <v>7935.259</v>
      </c>
      <c r="GB85" s="226">
        <f t="shared" si="42"/>
        <v>8467.063000000002</v>
      </c>
      <c r="GC85" s="226">
        <f t="shared" si="42"/>
        <v>7687.704990000001</v>
      </c>
      <c r="GD85" s="226">
        <f t="shared" si="42"/>
        <v>8931.505</v>
      </c>
      <c r="GE85" s="226">
        <f t="shared" si="42"/>
        <v>8650.372</v>
      </c>
      <c r="GF85" s="226">
        <f t="shared" si="42"/>
        <v>9301.281000000003</v>
      </c>
      <c r="GG85" s="226">
        <f t="shared" si="42"/>
        <v>6475.510192000001</v>
      </c>
      <c r="GH85" s="226">
        <f t="shared" si="42"/>
        <v>8850.774</v>
      </c>
      <c r="GI85" s="226">
        <f t="shared" si="42"/>
        <v>7522.294</v>
      </c>
      <c r="GJ85" s="226">
        <f t="shared" si="42"/>
        <v>0</v>
      </c>
      <c r="GK85" s="226">
        <f t="shared" si="42"/>
        <v>0</v>
      </c>
      <c r="GL85" s="226">
        <f t="shared" si="42"/>
        <v>0</v>
      </c>
      <c r="GM85" s="226">
        <f t="shared" si="42"/>
        <v>0</v>
      </c>
      <c r="GN85" s="226">
        <f t="shared" si="42"/>
        <v>0</v>
      </c>
      <c r="GO85" s="226">
        <f t="shared" si="42"/>
        <v>0</v>
      </c>
      <c r="GP85" s="226">
        <f t="shared" si="42"/>
        <v>0</v>
      </c>
      <c r="GQ85" s="226">
        <f t="shared" si="42"/>
        <v>0</v>
      </c>
      <c r="GR85" s="226">
        <f t="shared" si="42"/>
        <v>28379.453180000004</v>
      </c>
      <c r="GS85" s="226">
        <f t="shared" si="42"/>
        <v>32149.859192000007</v>
      </c>
    </row>
    <row r="86" spans="1:201" ht="15.75">
      <c r="A86" s="93"/>
      <c r="B86" s="129"/>
      <c r="C86" s="142"/>
      <c r="D86" s="142"/>
      <c r="E86" s="142"/>
      <c r="F86" s="142"/>
      <c r="G86" s="142"/>
      <c r="H86" s="142"/>
      <c r="I86" s="34"/>
      <c r="J86" s="35"/>
      <c r="K86" s="34"/>
      <c r="L86" s="136"/>
      <c r="M86" s="136"/>
      <c r="N86" s="137"/>
      <c r="O86" s="177"/>
      <c r="P86" s="178"/>
      <c r="Q86" s="178"/>
      <c r="R86" s="27"/>
      <c r="S86" s="70"/>
      <c r="T86" s="70"/>
      <c r="U86" s="138"/>
      <c r="V86" s="138"/>
      <c r="W86" s="27"/>
      <c r="X86" s="28"/>
      <c r="Y86" s="27"/>
      <c r="Z86" s="28"/>
      <c r="AA86" s="28"/>
      <c r="AB86" s="54"/>
      <c r="AC86" s="28"/>
      <c r="AD86" s="28"/>
      <c r="AE86" s="54"/>
      <c r="AF86" s="54"/>
      <c r="AG86" s="7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1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59"/>
      <c r="CJ86" s="43"/>
      <c r="CK86" s="43"/>
      <c r="CL86" s="43"/>
      <c r="CM86" s="43"/>
      <c r="CN86" s="43"/>
      <c r="CO86" s="43"/>
      <c r="CP86" s="43"/>
      <c r="CQ86" s="43"/>
      <c r="CR86" s="43"/>
      <c r="CS86" s="59"/>
      <c r="CT86" s="168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28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43"/>
      <c r="DX86" s="43"/>
      <c r="DY86" s="43"/>
      <c r="DZ86" s="43"/>
      <c r="EA86" s="27"/>
      <c r="EB86" s="43"/>
      <c r="EC86" s="43"/>
      <c r="ED86" s="43"/>
      <c r="EE86" s="43"/>
      <c r="EF86" s="50"/>
      <c r="EG86" s="50"/>
      <c r="EH86" s="50"/>
      <c r="EI86" s="43"/>
      <c r="EJ86" s="21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284"/>
      <c r="FH86" s="276"/>
      <c r="FI86" s="276"/>
      <c r="FJ86" s="276"/>
      <c r="FK86" s="276"/>
      <c r="FL86" s="276"/>
      <c r="FM86" s="276"/>
      <c r="FN86" s="276"/>
      <c r="FO86" s="276"/>
      <c r="FP86" s="276"/>
      <c r="FQ86" s="276"/>
      <c r="FR86" s="276"/>
      <c r="FS86" s="276"/>
      <c r="FT86" s="276"/>
      <c r="FU86" s="276"/>
      <c r="FV86" s="276"/>
      <c r="FW86" s="276"/>
      <c r="FX86" s="276"/>
      <c r="FY86" s="276"/>
      <c r="FZ86" s="276"/>
      <c r="GA86" s="276"/>
      <c r="GB86" s="276"/>
      <c r="GC86" s="276"/>
      <c r="GD86" s="276"/>
      <c r="GE86" s="276"/>
      <c r="GF86" s="276"/>
      <c r="GG86" s="276"/>
      <c r="GH86" s="276"/>
      <c r="GI86" s="276"/>
      <c r="GJ86" s="276"/>
      <c r="GK86" s="276"/>
      <c r="GL86" s="276"/>
      <c r="GM86" s="276"/>
      <c r="GN86" s="276"/>
      <c r="GO86" s="276"/>
      <c r="GP86" s="276"/>
      <c r="GQ86" s="276"/>
      <c r="GR86" s="50"/>
      <c r="GS86" s="50"/>
    </row>
    <row r="87" spans="1:203" ht="15.75">
      <c r="A87" s="304" t="s">
        <v>135</v>
      </c>
      <c r="B87" s="305"/>
      <c r="C87" s="182"/>
      <c r="D87" s="182"/>
      <c r="E87" s="182"/>
      <c r="F87" s="182"/>
      <c r="G87" s="182"/>
      <c r="H87" s="182"/>
      <c r="I87" s="12"/>
      <c r="J87" s="12"/>
      <c r="K87" s="12"/>
      <c r="L87" s="183"/>
      <c r="M87" s="183"/>
      <c r="N87" s="184"/>
      <c r="O87" s="185"/>
      <c r="P87" s="186"/>
      <c r="Q87" s="186"/>
      <c r="R87" s="14"/>
      <c r="S87" s="170"/>
      <c r="T87" s="170"/>
      <c r="U87" s="170"/>
      <c r="V87" s="170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70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87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0"/>
      <c r="DX87" s="10"/>
      <c r="DY87" s="10"/>
      <c r="DZ87" s="10"/>
      <c r="EA87" s="14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278"/>
      <c r="FH87" s="308"/>
      <c r="FI87" s="308"/>
      <c r="FJ87" s="308"/>
      <c r="FK87" s="308"/>
      <c r="FL87" s="308"/>
      <c r="FM87" s="308"/>
      <c r="FN87" s="308"/>
      <c r="FO87" s="308"/>
      <c r="FP87" s="308"/>
      <c r="FQ87" s="308"/>
      <c r="FR87" s="308"/>
      <c r="FS87" s="308"/>
      <c r="FT87" s="271"/>
      <c r="FU87" s="271"/>
      <c r="FV87" s="271"/>
      <c r="FW87" s="271"/>
      <c r="FX87" s="271"/>
      <c r="FY87" s="271"/>
      <c r="FZ87" s="271"/>
      <c r="GA87" s="271"/>
      <c r="GB87" s="271"/>
      <c r="GC87" s="271"/>
      <c r="GD87" s="271"/>
      <c r="GE87" s="271"/>
      <c r="GF87" s="271"/>
      <c r="GG87" s="271"/>
      <c r="GH87" s="271"/>
      <c r="GI87" s="271"/>
      <c r="GJ87" s="271"/>
      <c r="GK87" s="271"/>
      <c r="GL87" s="271"/>
      <c r="GM87" s="271"/>
      <c r="GN87" s="271"/>
      <c r="GO87" s="271"/>
      <c r="GP87" s="271"/>
      <c r="GQ87" s="271"/>
      <c r="GR87" s="10"/>
      <c r="GS87" s="200"/>
      <c r="GT87" s="234"/>
      <c r="GU87" s="234"/>
    </row>
    <row r="88" spans="1:201" ht="15.75">
      <c r="A88" s="292" t="s">
        <v>132</v>
      </c>
      <c r="B88" s="188"/>
      <c r="C88" s="188"/>
      <c r="D88" s="189"/>
      <c r="E88" s="189"/>
      <c r="F88" s="189"/>
      <c r="G88" s="190"/>
      <c r="H88" s="190"/>
      <c r="I88" s="190"/>
      <c r="J88" s="191"/>
      <c r="K88" s="35"/>
      <c r="L88" s="35"/>
      <c r="M88" s="35"/>
      <c r="N88" s="143"/>
      <c r="O88" s="140"/>
      <c r="P88" s="140"/>
      <c r="Q88" s="140"/>
      <c r="R88" s="192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8"/>
      <c r="DX88" s="8"/>
      <c r="DY88" s="8"/>
      <c r="DZ88" s="8"/>
      <c r="EA88" s="30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279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272"/>
      <c r="FT88" s="272"/>
      <c r="FU88" s="272"/>
      <c r="FV88" s="272"/>
      <c r="FW88" s="272"/>
      <c r="FX88" s="272"/>
      <c r="FY88" s="272"/>
      <c r="FZ88" s="272"/>
      <c r="GA88" s="272"/>
      <c r="GB88" s="272"/>
      <c r="GC88" s="272"/>
      <c r="GD88" s="272"/>
      <c r="GE88" s="272"/>
      <c r="GF88" s="272"/>
      <c r="GG88" s="272"/>
      <c r="GH88" s="272"/>
      <c r="GI88" s="272"/>
      <c r="GJ88" s="272"/>
      <c r="GK88" s="272"/>
      <c r="GL88" s="272"/>
      <c r="GM88" s="272"/>
      <c r="GN88" s="272"/>
      <c r="GO88" s="272"/>
      <c r="GP88" s="272"/>
      <c r="GQ88" s="272"/>
      <c r="GR88" s="8"/>
      <c r="GS88" s="59"/>
    </row>
    <row r="89" spans="1:201" ht="15.75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7"/>
      <c r="DX89" s="7"/>
      <c r="DY89" s="7"/>
      <c r="DZ89" s="7"/>
      <c r="EA89" s="6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280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273"/>
      <c r="FT89" s="273"/>
      <c r="FU89" s="273"/>
      <c r="FV89" s="273"/>
      <c r="FW89" s="273"/>
      <c r="FX89" s="273"/>
      <c r="FY89" s="273"/>
      <c r="FZ89" s="273"/>
      <c r="GA89" s="273"/>
      <c r="GB89" s="273"/>
      <c r="GC89" s="273"/>
      <c r="GD89" s="273"/>
      <c r="GE89" s="273"/>
      <c r="GF89" s="273"/>
      <c r="GG89" s="273"/>
      <c r="GH89" s="273"/>
      <c r="GI89" s="273"/>
      <c r="GJ89" s="273"/>
      <c r="GK89" s="273"/>
      <c r="GL89" s="273"/>
      <c r="GM89" s="273"/>
      <c r="GN89" s="273"/>
      <c r="GO89" s="273"/>
      <c r="GP89" s="273"/>
      <c r="GQ89" s="273"/>
      <c r="GR89" s="7"/>
      <c r="GS89" s="201"/>
    </row>
    <row r="90" spans="4:71" ht="14.25" customHeight="1">
      <c r="D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4:137" ht="15.75">
      <c r="D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</row>
    <row r="92" spans="19:137" ht="15.75">
      <c r="S92" s="4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210"/>
      <c r="DX92" s="210"/>
      <c r="DY92" s="210"/>
      <c r="DZ92" s="210"/>
      <c r="EA92" s="210"/>
      <c r="EB92" s="210"/>
      <c r="EC92" s="210"/>
      <c r="ED92" s="211"/>
      <c r="EE92" s="211"/>
      <c r="EF92" s="211"/>
      <c r="EG92" s="211"/>
    </row>
    <row r="93" spans="33:137" ht="15.75"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</row>
    <row r="94" spans="33:137" ht="15.75"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</row>
    <row r="95" spans="33:137" ht="15.75"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09"/>
    </row>
    <row r="96" spans="33:137" ht="15.75"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09"/>
    </row>
    <row r="97" spans="33:137" ht="15.75"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</row>
    <row r="98" spans="33:137" ht="15.75"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</row>
    <row r="99" spans="33:137" ht="15.75"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</row>
    <row r="100" spans="33:137" ht="15.75"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</row>
    <row r="101" spans="33:137" ht="15.75"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</row>
    <row r="102" spans="33:137" ht="15.75"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</row>
    <row r="103" spans="33:137" ht="15.75"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</row>
    <row r="104" spans="33:137" ht="15.75"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</row>
    <row r="105" spans="33:137" ht="15.75"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</row>
    <row r="106" spans="33:137" ht="15.75"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</row>
    <row r="107" spans="33:137" ht="15.75"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</row>
    <row r="108" spans="33:137" ht="15.75"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</row>
    <row r="109" spans="33:137" ht="15.75"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</row>
    <row r="112" spans="127:137" ht="15.75">
      <c r="DW112" s="208"/>
      <c r="DX112" s="208"/>
      <c r="DY112" s="208"/>
      <c r="DZ112" s="208"/>
      <c r="EA112" s="208"/>
      <c r="EB112" s="208"/>
      <c r="EC112" s="208"/>
      <c r="ED112" s="208"/>
      <c r="EE112" s="208"/>
      <c r="EF112" s="208"/>
      <c r="EG112" s="208"/>
    </row>
  </sheetData>
  <sheetProtection/>
  <mergeCells count="4">
    <mergeCell ref="A3:DG3"/>
    <mergeCell ref="A4:DG4"/>
    <mergeCell ref="A48:DG48"/>
    <mergeCell ref="A49:DG49"/>
  </mergeCells>
  <printOptions/>
  <pageMargins left="0.7874015748031497" right="0.15748031496062992" top="0.25" bottom="0.1968503937007874" header="0.1968503937007874" footer="0.1574803149606299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2018-07-09T14:14:32Z</cp:lastPrinted>
  <dcterms:created xsi:type="dcterms:W3CDTF">2000-07-14T13:03:01Z</dcterms:created>
  <dcterms:modified xsi:type="dcterms:W3CDTF">2018-07-09T14:16:03Z</dcterms:modified>
  <cp:category/>
  <cp:version/>
  <cp:contentType/>
  <cp:contentStatus/>
</cp:coreProperties>
</file>