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V5 Français" sheetId="1" r:id="rId1"/>
  </sheets>
  <definedNames>
    <definedName name="_xlnm.Print_Area" localSheetId="0">'V5 Français'!$A$1:$F$405</definedName>
    <definedName name="Zone_impres_MI">'V5 Français'!$A$1:$F$404</definedName>
  </definedNames>
  <calcPr fullCalcOnLoad="1"/>
</workbook>
</file>

<file path=xl/sharedStrings.xml><?xml version="1.0" encoding="utf-8"?>
<sst xmlns="http://schemas.openxmlformats.org/spreadsheetml/2006/main" count="360" uniqueCount="80">
  <si>
    <t xml:space="preserve"> </t>
  </si>
  <si>
    <t xml:space="preserve"> Essence </t>
  </si>
  <si>
    <t xml:space="preserve"> Pétrole</t>
  </si>
  <si>
    <t xml:space="preserve"> Gas oil</t>
  </si>
  <si>
    <t xml:space="preserve"> Fuel oil</t>
  </si>
  <si>
    <t xml:space="preserve">  J.P.1</t>
  </si>
  <si>
    <t xml:space="preserve">  super</t>
  </si>
  <si>
    <t>1995</t>
  </si>
  <si>
    <t>1996</t>
  </si>
  <si>
    <t>-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</si>
  <si>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</si>
  <si>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</si>
  <si>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</si>
  <si>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</si>
  <si>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</si>
  <si>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</si>
  <si>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</si>
  <si>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</si>
  <si>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</si>
  <si>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</si>
  <si>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</si>
  <si>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</si>
  <si>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</si>
  <si>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</si>
  <si>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</si>
  <si>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</si>
  <si>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</si>
  <si>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</si>
  <si>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>2000</t>
  </si>
  <si>
    <t xml:space="preserve">  Janvier</t>
  </si>
  <si>
    <t xml:space="preserve">  Février</t>
  </si>
  <si>
    <t xml:space="preserve">  Mars</t>
  </si>
  <si>
    <t>2001</t>
  </si>
  <si>
    <t>Période</t>
  </si>
  <si>
    <t xml:space="preserve">                     -</t>
  </si>
  <si>
    <t>2002</t>
  </si>
  <si>
    <t>1999(2)</t>
  </si>
  <si>
    <t>Source: S.E.P.</t>
  </si>
  <si>
    <t xml:space="preserve">  Janvier*</t>
  </si>
  <si>
    <t xml:space="preserve">  Février*</t>
  </si>
  <si>
    <t xml:space="preserve">  Mars*</t>
  </si>
  <si>
    <t>2003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</si>
  <si>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</si>
  <si>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</si>
  <si>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</si>
  <si>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</si>
  <si>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</si>
  <si>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 *</t>
  </si>
  <si>
    <t xml:space="preserve">  Octobre*  </t>
  </si>
  <si>
    <t xml:space="preserve">  Novembre*  </t>
  </si>
  <si>
    <t xml:space="preserve">  Décembre*</t>
  </si>
  <si>
    <t>2003*</t>
  </si>
  <si>
    <t>2004</t>
  </si>
  <si>
    <t xml:space="preserve">                   Produit</t>
  </si>
  <si>
    <t xml:space="preserve"> (1): Quantité réceptionnée par la S.E.P. Bujumbura </t>
  </si>
  <si>
    <t xml:space="preserve">                              CONSOMMATION DES PRINCIPAUX PRODUITS PETROLIERS (1)</t>
  </si>
  <si>
    <t>2005</t>
  </si>
  <si>
    <t xml:space="preserve">  Octobre</t>
  </si>
  <si>
    <t xml:space="preserve">  Novembre </t>
  </si>
  <si>
    <t xml:space="preserve"> (*): Non compris les données de la S.E.P. Gitega à partir de l'année 2003</t>
  </si>
  <si>
    <t>2006</t>
  </si>
  <si>
    <t>V.5</t>
  </si>
  <si>
    <t>2007</t>
  </si>
  <si>
    <t xml:space="preserve"> (2): y compris les données de la S.E.P. Gitega </t>
  </si>
  <si>
    <t>2008</t>
  </si>
  <si>
    <t xml:space="preserve">                                   (en milliers de litres)</t>
  </si>
  <si>
    <t>2009</t>
  </si>
  <si>
    <t xml:space="preserve">  Septembre</t>
  </si>
  <si>
    <t xml:space="preserve">  Novembre</t>
  </si>
  <si>
    <t>2010</t>
  </si>
  <si>
    <t>2011</t>
  </si>
  <si>
    <t>2012</t>
  </si>
  <si>
    <t>2013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</si>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</sst>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"/>
    <numFmt numFmtId="190" formatCode="#,##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0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7" fontId="0" fillId="0" borderId="0" xfId="0" applyBorder="1" applyAlignment="1">
      <alignment horizontal="left"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7" fillId="0" borderId="11" xfId="0" applyFont="1" applyBorder="1" applyAlignment="1">
      <alignment/>
    </xf>
    <xf numFmtId="37" fontId="7" fillId="0" borderId="12" xfId="0" applyFont="1" applyBorder="1" applyAlignment="1">
      <alignment/>
    </xf>
    <xf numFmtId="37" fontId="7" fillId="0" borderId="13" xfId="0" applyFont="1" applyBorder="1" applyAlignment="1">
      <alignment/>
    </xf>
    <xf numFmtId="37" fontId="7" fillId="0" borderId="10" xfId="0" applyFont="1" applyBorder="1" applyAlignment="1">
      <alignment/>
    </xf>
    <xf numFmtId="37" fontId="7" fillId="0" borderId="0" xfId="0" applyFont="1" applyBorder="1" applyAlignment="1">
      <alignment/>
    </xf>
    <xf numFmtId="37" fontId="25" fillId="0" borderId="14" xfId="0" applyFont="1" applyBorder="1" applyAlignment="1">
      <alignment horizontal="right"/>
    </xf>
    <xf numFmtId="37" fontId="7" fillId="0" borderId="14" xfId="0" applyFont="1" applyBorder="1" applyAlignment="1">
      <alignment/>
    </xf>
    <xf numFmtId="37" fontId="25" fillId="0" borderId="15" xfId="0" applyFont="1" applyBorder="1" applyAlignment="1">
      <alignment/>
    </xf>
    <xf numFmtId="37" fontId="7" fillId="0" borderId="16" xfId="0" applyFont="1" applyBorder="1" applyAlignment="1">
      <alignment/>
    </xf>
    <xf numFmtId="37" fontId="7" fillId="0" borderId="17" xfId="0" applyFont="1" applyBorder="1" applyAlignment="1">
      <alignment/>
    </xf>
    <xf numFmtId="37" fontId="7" fillId="0" borderId="18" xfId="0" applyFont="1" applyBorder="1" applyAlignment="1">
      <alignment/>
    </xf>
    <xf numFmtId="37" fontId="7" fillId="0" borderId="0" xfId="0" applyFont="1" applyBorder="1" applyAlignment="1">
      <alignment horizontal="center"/>
    </xf>
    <xf numFmtId="37" fontId="7" fillId="0" borderId="18" xfId="0" applyFont="1" applyBorder="1" applyAlignment="1">
      <alignment horizontal="center"/>
    </xf>
    <xf numFmtId="37" fontId="7" fillId="0" borderId="13" xfId="0" applyFont="1" applyBorder="1" applyAlignment="1">
      <alignment horizontal="center"/>
    </xf>
    <xf numFmtId="37" fontId="7" fillId="0" borderId="19" xfId="0" applyFont="1" applyBorder="1" applyAlignment="1">
      <alignment/>
    </xf>
    <xf numFmtId="37" fontId="7" fillId="0" borderId="20" xfId="0" applyFont="1" applyBorder="1" applyAlignment="1">
      <alignment horizontal="center"/>
    </xf>
    <xf numFmtId="37" fontId="7" fillId="0" borderId="0" xfId="0" applyNumberFormat="1" applyFont="1" applyBorder="1" applyAlignment="1" applyProtection="1">
      <alignment horizontal="center"/>
      <protection/>
    </xf>
    <xf numFmtId="37" fontId="7" fillId="0" borderId="18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7" fontId="7" fillId="0" borderId="18" xfId="0" applyFont="1" applyBorder="1" applyAlignment="1">
      <alignment horizontal="left"/>
    </xf>
    <xf numFmtId="1" fontId="7" fillId="0" borderId="18" xfId="0" applyNumberFormat="1" applyFont="1" applyBorder="1" applyAlignment="1">
      <alignment horizontal="left"/>
    </xf>
    <xf numFmtId="37" fontId="7" fillId="0" borderId="18" xfId="0" applyFont="1" applyBorder="1" applyAlignment="1" quotePrefix="1">
      <alignment horizontal="left"/>
    </xf>
    <xf numFmtId="3" fontId="7" fillId="0" borderId="14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7" fontId="7" fillId="0" borderId="18" xfId="0" applyFont="1" applyBorder="1" applyAlignment="1" quotePrefix="1">
      <alignment/>
    </xf>
    <xf numFmtId="3" fontId="25" fillId="0" borderId="0" xfId="0" applyNumberFormat="1" applyFont="1" applyFill="1" applyBorder="1" applyAlignment="1">
      <alignment horizontal="center"/>
    </xf>
    <xf numFmtId="3" fontId="25" fillId="0" borderId="18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3" fontId="25" fillId="0" borderId="18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7" fontId="7" fillId="0" borderId="18" xfId="0" applyFont="1" applyBorder="1" applyAlignment="1">
      <alignment/>
    </xf>
    <xf numFmtId="37" fontId="7" fillId="0" borderId="0" xfId="0" applyFont="1" applyAlignment="1">
      <alignment/>
    </xf>
    <xf numFmtId="37" fontId="7" fillId="0" borderId="14" xfId="0" applyFont="1" applyBorder="1" applyAlignment="1">
      <alignment/>
    </xf>
    <xf numFmtId="37" fontId="25" fillId="0" borderId="15" xfId="0" applyFont="1" applyFill="1" applyBorder="1" applyAlignment="1">
      <alignment horizontal="center"/>
    </xf>
    <xf numFmtId="37" fontId="7" fillId="0" borderId="12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7" fillId="0" borderId="10" xfId="0" applyFont="1" applyFill="1" applyBorder="1" applyAlignment="1">
      <alignment/>
    </xf>
    <xf numFmtId="37" fontId="7" fillId="0" borderId="15" xfId="0" applyFont="1" applyBorder="1" applyAlignment="1">
      <alignment/>
    </xf>
    <xf numFmtId="188" fontId="7" fillId="0" borderId="16" xfId="0" applyNumberFormat="1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8" xfId="0" applyFont="1" applyBorder="1" applyAlignment="1">
      <alignment horizontal="left" indent="1"/>
    </xf>
    <xf numFmtId="37" fontId="25" fillId="0" borderId="18" xfId="0" applyFont="1" applyBorder="1" applyAlignment="1">
      <alignment/>
    </xf>
    <xf numFmtId="37" fontId="25" fillId="0" borderId="19" xfId="0" applyFont="1" applyBorder="1" applyAlignment="1">
      <alignment/>
    </xf>
    <xf numFmtId="37" fontId="25" fillId="0" borderId="10" xfId="0" applyFont="1" applyBorder="1" applyAlignment="1">
      <alignment/>
    </xf>
    <xf numFmtId="37" fontId="25" fillId="0" borderId="10" xfId="0" applyFont="1" applyBorder="1" applyAlignment="1">
      <alignment horizontal="center"/>
    </xf>
    <xf numFmtId="37" fontId="7" fillId="0" borderId="0" xfId="0" applyFont="1" applyBorder="1" applyAlignment="1">
      <alignment horizontal="center"/>
    </xf>
    <xf numFmtId="37" fontId="7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07"/>
  <sheetViews>
    <sheetView showGridLines="0" tabSelected="1" zoomScalePageLayoutView="0" workbookViewId="0" topLeftCell="A1">
      <pane xSplit="1" ySplit="9" topLeftCell="B37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396" sqref="H396"/>
    </sheetView>
  </sheetViews>
  <sheetFormatPr defaultColWidth="12.6640625" defaultRowHeight="15.75"/>
  <cols>
    <col min="1" max="1" width="15.77734375" style="0" customWidth="1"/>
    <col min="2" max="2" width="22.21484375" style="0" customWidth="1"/>
    <col min="3" max="3" width="20.3359375" style="0" customWidth="1"/>
    <col min="4" max="4" width="21.99609375" style="0" customWidth="1"/>
    <col min="5" max="5" width="17.3359375" style="0" hidden="1" customWidth="1"/>
    <col min="6" max="6" width="23.77734375" style="0" customWidth="1"/>
  </cols>
  <sheetData>
    <row r="1" spans="1:6" ht="15.75">
      <c r="A1" s="7"/>
      <c r="B1" s="8"/>
      <c r="C1" s="8"/>
      <c r="D1" s="8"/>
      <c r="E1" s="8"/>
      <c r="F1" s="9"/>
    </row>
    <row r="2" spans="1:6" ht="15.75">
      <c r="A2" s="10" t="s">
        <v>0</v>
      </c>
      <c r="B2" s="11"/>
      <c r="C2" s="11"/>
      <c r="D2" s="11"/>
      <c r="E2" s="11"/>
      <c r="F2" s="12" t="s">
        <v>61</v>
      </c>
    </row>
    <row r="3" spans="1:6" ht="15.75">
      <c r="A3" s="10"/>
      <c r="B3" s="11"/>
      <c r="C3" s="11"/>
      <c r="D3" s="11"/>
      <c r="E3" s="11"/>
      <c r="F3" s="13"/>
    </row>
    <row r="4" spans="1:6" ht="15.75">
      <c r="A4" s="57" t="s">
        <v>55</v>
      </c>
      <c r="B4" s="58"/>
      <c r="C4" s="58"/>
      <c r="D4" s="58"/>
      <c r="E4" s="58"/>
      <c r="F4" s="59"/>
    </row>
    <row r="5" spans="1:6" ht="15.75">
      <c r="A5" s="57" t="s">
        <v>65</v>
      </c>
      <c r="B5" s="58"/>
      <c r="C5" s="58"/>
      <c r="D5" s="58"/>
      <c r="E5" s="58"/>
      <c r="F5" s="59"/>
    </row>
    <row r="6" spans="1:6" ht="15.75">
      <c r="A6" s="14"/>
      <c r="B6" s="15"/>
      <c r="C6" s="15"/>
      <c r="D6" s="15"/>
      <c r="E6" s="15"/>
      <c r="F6" s="16"/>
    </row>
    <row r="7" spans="1:6" ht="15.75">
      <c r="A7" s="54" t="s">
        <v>53</v>
      </c>
      <c r="B7" s="18" t="s">
        <v>1</v>
      </c>
      <c r="C7" s="19" t="s">
        <v>2</v>
      </c>
      <c r="D7" s="19" t="s">
        <v>3</v>
      </c>
      <c r="E7" s="11" t="s">
        <v>4</v>
      </c>
      <c r="F7" s="20" t="s">
        <v>5</v>
      </c>
    </row>
    <row r="8" spans="1:6" ht="15.75">
      <c r="A8" s="17"/>
      <c r="B8" s="18" t="s">
        <v>6</v>
      </c>
      <c r="C8" s="17"/>
      <c r="D8" s="17"/>
      <c r="E8" s="11"/>
      <c r="F8" s="13"/>
    </row>
    <row r="9" spans="1:6" ht="15.75">
      <c r="A9" s="55" t="s">
        <v>33</v>
      </c>
      <c r="B9" s="15"/>
      <c r="C9" s="21"/>
      <c r="D9" s="21"/>
      <c r="E9" s="15"/>
      <c r="F9" s="16"/>
    </row>
    <row r="10" spans="1:6" ht="15.75">
      <c r="A10" s="17"/>
      <c r="B10" s="18"/>
      <c r="C10" s="19"/>
      <c r="D10" s="19"/>
      <c r="E10" s="18"/>
      <c r="F10" s="22"/>
    </row>
    <row r="11" spans="1:6" ht="15.75" hidden="1">
      <c r="A11" s="17" t="s">
        <v>7</v>
      </c>
      <c r="B11" s="23">
        <v>24737</v>
      </c>
      <c r="C11" s="24">
        <v>5403</v>
      </c>
      <c r="D11" s="24">
        <v>32479</v>
      </c>
      <c r="E11" s="23">
        <v>1899</v>
      </c>
      <c r="F11" s="24">
        <v>5600</v>
      </c>
    </row>
    <row r="12" spans="1:6" ht="15.75" hidden="1">
      <c r="A12" s="17" t="s">
        <v>8</v>
      </c>
      <c r="B12" s="18">
        <v>16894</v>
      </c>
      <c r="C12" s="19">
        <v>2014</v>
      </c>
      <c r="D12" s="19">
        <v>26317</v>
      </c>
      <c r="E12" s="18" t="s">
        <v>34</v>
      </c>
      <c r="F12" s="19">
        <v>2972</v>
      </c>
    </row>
    <row r="13" spans="1:6" ht="15.75" hidden="1">
      <c r="A13" s="17" t="s">
        <v>10</v>
      </c>
      <c r="B13" s="25">
        <v>14573</v>
      </c>
      <c r="C13" s="26">
        <v>531</v>
      </c>
      <c r="D13" s="26">
        <v>21770</v>
      </c>
      <c r="E13" s="25" t="s">
        <v>34</v>
      </c>
      <c r="F13" s="26">
        <v>2862</v>
      </c>
    </row>
    <row r="14" spans="1:6" ht="15.75" hidden="1">
      <c r="A14" s="17" t="s">
        <v>11</v>
      </c>
      <c r="B14" s="25">
        <v>23556</v>
      </c>
      <c r="C14" s="26">
        <v>2096</v>
      </c>
      <c r="D14" s="26">
        <v>23608</v>
      </c>
      <c r="E14" s="25" t="s">
        <v>34</v>
      </c>
      <c r="F14" s="26">
        <v>2593</v>
      </c>
    </row>
    <row r="15" spans="1:6" ht="15.75" hidden="1">
      <c r="A15" s="27" t="s">
        <v>36</v>
      </c>
      <c r="B15" s="25">
        <v>29221</v>
      </c>
      <c r="C15" s="26">
        <v>1648</v>
      </c>
      <c r="D15" s="26">
        <v>30336</v>
      </c>
      <c r="E15" s="25" t="s">
        <v>34</v>
      </c>
      <c r="F15" s="26">
        <v>2260</v>
      </c>
    </row>
    <row r="16" spans="1:6" ht="18" hidden="1">
      <c r="A16" s="27" t="s">
        <v>73</v>
      </c>
      <c r="B16" s="25">
        <v>29684</v>
      </c>
      <c r="C16" s="26">
        <v>2401</v>
      </c>
      <c r="D16" s="26">
        <v>31711</v>
      </c>
      <c r="E16" s="25" t="s">
        <v>34</v>
      </c>
      <c r="F16" s="26">
        <v>1729</v>
      </c>
    </row>
    <row r="17" spans="1:6" ht="18" hidden="1">
      <c r="A17" s="27" t="s">
        <v>74</v>
      </c>
      <c r="B17" s="26">
        <v>29538</v>
      </c>
      <c r="C17" s="26">
        <v>2020</v>
      </c>
      <c r="D17" s="26">
        <v>32777</v>
      </c>
      <c r="E17" s="25">
        <v>0</v>
      </c>
      <c r="F17" s="26">
        <v>2450</v>
      </c>
    </row>
    <row r="18" spans="1:6" ht="18" hidden="1">
      <c r="A18" s="28" t="s">
        <v>75</v>
      </c>
      <c r="B18" s="26">
        <v>32089</v>
      </c>
      <c r="C18" s="26">
        <v>2203</v>
      </c>
      <c r="D18" s="26">
        <v>35212</v>
      </c>
      <c r="E18" s="25"/>
      <c r="F18" s="26">
        <v>4622</v>
      </c>
    </row>
    <row r="19" spans="1:6" ht="15.75" hidden="1">
      <c r="A19" s="28"/>
      <c r="B19" s="26"/>
      <c r="C19" s="26"/>
      <c r="D19" s="26"/>
      <c r="E19" s="25"/>
      <c r="F19" s="26"/>
    </row>
    <row r="20" spans="1:6" ht="15.75" hidden="1">
      <c r="A20" s="27"/>
      <c r="B20" s="26"/>
      <c r="C20" s="26"/>
      <c r="D20" s="26"/>
      <c r="E20" s="25"/>
      <c r="F20" s="26"/>
    </row>
    <row r="21" spans="1:6" ht="15.75" hidden="1">
      <c r="A21" s="27"/>
      <c r="B21" s="25"/>
      <c r="C21" s="26"/>
      <c r="D21" s="26"/>
      <c r="E21" s="25"/>
      <c r="F21" s="26"/>
    </row>
    <row r="22" spans="1:6" ht="15.75" hidden="1">
      <c r="A22" s="27" t="s">
        <v>13</v>
      </c>
      <c r="B22" s="25"/>
      <c r="C22" s="26"/>
      <c r="D22" s="26"/>
      <c r="E22" s="25"/>
      <c r="F22" s="26"/>
    </row>
    <row r="23" spans="1:6" ht="15.75" hidden="1">
      <c r="A23" s="27" t="s">
        <v>14</v>
      </c>
      <c r="B23" s="25">
        <v>5753</v>
      </c>
      <c r="C23" s="26">
        <v>502</v>
      </c>
      <c r="D23" s="26">
        <v>5091</v>
      </c>
      <c r="E23" s="25" t="s">
        <v>9</v>
      </c>
      <c r="F23" s="26">
        <v>869</v>
      </c>
    </row>
    <row r="24" spans="1:6" ht="15.75" hidden="1">
      <c r="A24" s="27" t="s">
        <v>15</v>
      </c>
      <c r="B24" s="25">
        <v>6028</v>
      </c>
      <c r="C24" s="26">
        <v>494</v>
      </c>
      <c r="D24" s="26">
        <v>5633</v>
      </c>
      <c r="E24" s="25" t="s">
        <v>9</v>
      </c>
      <c r="F24" s="26">
        <v>613</v>
      </c>
    </row>
    <row r="25" spans="1:6" ht="15.75" hidden="1">
      <c r="A25" s="27" t="s">
        <v>16</v>
      </c>
      <c r="B25" s="25">
        <v>5906</v>
      </c>
      <c r="C25" s="26">
        <v>506</v>
      </c>
      <c r="D25" s="26">
        <v>6714</v>
      </c>
      <c r="E25" s="25" t="s">
        <v>9</v>
      </c>
      <c r="F25" s="26">
        <v>724</v>
      </c>
    </row>
    <row r="26" spans="1:6" ht="15.75" hidden="1">
      <c r="A26" s="27" t="s">
        <v>17</v>
      </c>
      <c r="B26" s="25">
        <v>5869</v>
      </c>
      <c r="C26" s="26">
        <v>594</v>
      </c>
      <c r="D26" s="26">
        <v>6170</v>
      </c>
      <c r="E26" s="25" t="s">
        <v>9</v>
      </c>
      <c r="F26" s="26">
        <v>387</v>
      </c>
    </row>
    <row r="27" spans="1:6" ht="15.75" hidden="1">
      <c r="A27" s="27"/>
      <c r="B27" s="25"/>
      <c r="C27" s="26"/>
      <c r="D27" s="26"/>
      <c r="E27" s="25"/>
      <c r="F27" s="26"/>
    </row>
    <row r="28" spans="1:6" ht="15.75" hidden="1">
      <c r="A28" s="27" t="s">
        <v>18</v>
      </c>
      <c r="B28" s="25"/>
      <c r="C28" s="26"/>
      <c r="D28" s="26"/>
      <c r="E28" s="25"/>
      <c r="F28" s="26"/>
    </row>
    <row r="29" spans="1:6" ht="15.75" hidden="1">
      <c r="A29" s="27" t="s">
        <v>14</v>
      </c>
      <c r="B29" s="25">
        <v>6614</v>
      </c>
      <c r="C29" s="26">
        <v>522</v>
      </c>
      <c r="D29" s="26">
        <v>7121</v>
      </c>
      <c r="E29" s="25" t="s">
        <v>34</v>
      </c>
      <c r="F29" s="26">
        <v>485</v>
      </c>
    </row>
    <row r="30" spans="1:6" ht="15.75" hidden="1">
      <c r="A30" s="27" t="s">
        <v>15</v>
      </c>
      <c r="B30" s="25">
        <v>7636</v>
      </c>
      <c r="C30" s="26">
        <v>619</v>
      </c>
      <c r="D30" s="26">
        <v>7698</v>
      </c>
      <c r="E30" s="25" t="s">
        <v>34</v>
      </c>
      <c r="F30" s="26">
        <v>482</v>
      </c>
    </row>
    <row r="31" spans="1:6" ht="15.75" hidden="1">
      <c r="A31" s="27" t="s">
        <v>16</v>
      </c>
      <c r="B31" s="25">
        <v>6633</v>
      </c>
      <c r="C31" s="26">
        <v>333</v>
      </c>
      <c r="D31" s="26">
        <v>6302</v>
      </c>
      <c r="E31" s="25" t="s">
        <v>34</v>
      </c>
      <c r="F31" s="26">
        <v>614</v>
      </c>
    </row>
    <row r="32" spans="1:6" ht="15.75" hidden="1">
      <c r="A32" s="27" t="s">
        <v>17</v>
      </c>
      <c r="B32" s="25">
        <v>7157</v>
      </c>
      <c r="C32" s="26">
        <v>174</v>
      </c>
      <c r="D32" s="26">
        <v>7757</v>
      </c>
      <c r="E32" s="25" t="s">
        <v>34</v>
      </c>
      <c r="F32" s="26">
        <v>679</v>
      </c>
    </row>
    <row r="33" spans="1:6" ht="15.75" hidden="1">
      <c r="A33" s="29" t="s">
        <v>51</v>
      </c>
      <c r="B33" s="25">
        <v>26436</v>
      </c>
      <c r="C33" s="26">
        <v>1672</v>
      </c>
      <c r="D33" s="26">
        <v>25609</v>
      </c>
      <c r="E33" s="25"/>
      <c r="F33" s="26">
        <v>4990</v>
      </c>
    </row>
    <row r="34" spans="1:6" ht="15.75" hidden="1">
      <c r="A34" s="29" t="s">
        <v>51</v>
      </c>
      <c r="B34" s="25"/>
      <c r="C34" s="26"/>
      <c r="D34" s="26"/>
      <c r="E34" s="25"/>
      <c r="F34" s="26"/>
    </row>
    <row r="35" spans="1:6" ht="15.75" hidden="1">
      <c r="A35" s="29" t="s">
        <v>51</v>
      </c>
      <c r="B35" s="25">
        <f>6360+167+46+81</f>
        <v>6654</v>
      </c>
      <c r="C35" s="26">
        <v>564</v>
      </c>
      <c r="D35" s="26">
        <f>7016+142+162+146</f>
        <v>7466</v>
      </c>
      <c r="E35" s="25" t="s">
        <v>34</v>
      </c>
      <c r="F35" s="26">
        <v>296</v>
      </c>
    </row>
    <row r="36" spans="1:6" ht="15.75" hidden="1">
      <c r="A36" s="29" t="s">
        <v>51</v>
      </c>
      <c r="B36" s="25">
        <f>6250+6+289+919</f>
        <v>7464</v>
      </c>
      <c r="C36" s="26">
        <v>665</v>
      </c>
      <c r="D36" s="26">
        <f>7670+7+104+527</f>
        <v>8308</v>
      </c>
      <c r="E36" s="25" t="s">
        <v>34</v>
      </c>
      <c r="F36" s="26">
        <v>600</v>
      </c>
    </row>
    <row r="37" spans="1:6" ht="15.75" hidden="1">
      <c r="A37" s="29" t="s">
        <v>51</v>
      </c>
      <c r="B37" s="25">
        <f>5508+1147+916+514</f>
        <v>8085</v>
      </c>
      <c r="C37" s="26">
        <v>687</v>
      </c>
      <c r="D37" s="26">
        <f>6093+680+757+522</f>
        <v>8052</v>
      </c>
      <c r="E37" s="25" t="s">
        <v>34</v>
      </c>
      <c r="F37" s="26">
        <v>496</v>
      </c>
    </row>
    <row r="38" spans="1:6" ht="15.75" hidden="1">
      <c r="A38" s="29" t="s">
        <v>51</v>
      </c>
      <c r="B38" s="25">
        <f>5525+509+752+695</f>
        <v>7481</v>
      </c>
      <c r="C38" s="26">
        <v>485</v>
      </c>
      <c r="D38" s="26">
        <f>6472+521+363+529</f>
        <v>7885</v>
      </c>
      <c r="E38" s="25" t="s">
        <v>34</v>
      </c>
      <c r="F38" s="26">
        <v>337</v>
      </c>
    </row>
    <row r="39" spans="1:6" ht="15.75" hidden="1">
      <c r="A39" s="29" t="s">
        <v>51</v>
      </c>
      <c r="B39" s="25"/>
      <c r="C39" s="26"/>
      <c r="D39" s="26"/>
      <c r="E39" s="25"/>
      <c r="F39" s="26"/>
    </row>
    <row r="40" spans="1:6" ht="15.75" hidden="1">
      <c r="A40" s="29" t="s">
        <v>51</v>
      </c>
      <c r="B40" s="25"/>
      <c r="C40" s="26"/>
      <c r="D40" s="26"/>
      <c r="E40" s="25"/>
      <c r="F40" s="26"/>
    </row>
    <row r="41" spans="1:6" ht="15.75" hidden="1">
      <c r="A41" s="29" t="s">
        <v>51</v>
      </c>
      <c r="B41" s="25">
        <f>5951+228+416+648</f>
        <v>7243</v>
      </c>
      <c r="C41" s="26">
        <v>463</v>
      </c>
      <c r="D41" s="26">
        <f>6249+256+365+455</f>
        <v>7325</v>
      </c>
      <c r="E41" s="25" t="s">
        <v>34</v>
      </c>
      <c r="F41" s="26">
        <v>343</v>
      </c>
    </row>
    <row r="42" spans="1:6" ht="15.75" hidden="1">
      <c r="A42" s="29" t="s">
        <v>51</v>
      </c>
      <c r="B42" s="26">
        <f>4955+658+965+612</f>
        <v>7190</v>
      </c>
      <c r="C42" s="26">
        <v>474</v>
      </c>
      <c r="D42" s="30">
        <f>6352+642+502+624</f>
        <v>8120</v>
      </c>
      <c r="E42" s="25">
        <v>0</v>
      </c>
      <c r="F42" s="26">
        <v>343</v>
      </c>
    </row>
    <row r="43" spans="1:6" ht="15.75" hidden="1">
      <c r="A43" s="29" t="s">
        <v>51</v>
      </c>
      <c r="B43" s="25">
        <f>6600+372+437+341</f>
        <v>7750</v>
      </c>
      <c r="C43" s="26">
        <v>565</v>
      </c>
      <c r="D43" s="26">
        <f>7474+505+605+493</f>
        <v>9077</v>
      </c>
      <c r="E43" s="25"/>
      <c r="F43" s="26">
        <v>814</v>
      </c>
    </row>
    <row r="44" spans="1:7" ht="15.75" hidden="1">
      <c r="A44" s="29" t="s">
        <v>51</v>
      </c>
      <c r="B44" s="26">
        <f>6068+417+428+442</f>
        <v>7355</v>
      </c>
      <c r="C44" s="26">
        <v>518</v>
      </c>
      <c r="D44" s="26">
        <f>6612+634+501+508</f>
        <v>8255</v>
      </c>
      <c r="E44" s="25">
        <v>0</v>
      </c>
      <c r="F44" s="26">
        <v>950</v>
      </c>
      <c r="G44" s="3"/>
    </row>
    <row r="45" spans="1:7" ht="15.75" hidden="1">
      <c r="A45" s="29" t="s">
        <v>52</v>
      </c>
      <c r="B45" s="25">
        <v>22910</v>
      </c>
      <c r="C45" s="26">
        <v>615</v>
      </c>
      <c r="D45" s="26">
        <v>23220</v>
      </c>
      <c r="E45" s="25"/>
      <c r="F45" s="26">
        <v>7931</v>
      </c>
      <c r="G45" s="3"/>
    </row>
    <row r="46" spans="1:7" ht="15.75" hidden="1">
      <c r="A46" s="17"/>
      <c r="B46" s="25"/>
      <c r="C46" s="26"/>
      <c r="D46" s="26"/>
      <c r="E46" s="25"/>
      <c r="F46" s="26"/>
      <c r="G46" s="3"/>
    </row>
    <row r="47" spans="1:6" ht="15.75" hidden="1">
      <c r="A47" s="17"/>
      <c r="B47" s="25"/>
      <c r="C47" s="26"/>
      <c r="D47" s="26"/>
      <c r="E47" s="25"/>
      <c r="F47" s="26"/>
    </row>
    <row r="48" spans="1:6" ht="15.75" hidden="1">
      <c r="A48" s="17" t="s">
        <v>12</v>
      </c>
      <c r="B48" s="25"/>
      <c r="C48" s="26"/>
      <c r="D48" s="26"/>
      <c r="E48" s="25"/>
      <c r="F48" s="26"/>
    </row>
    <row r="49" spans="1:6" ht="15.75" hidden="1">
      <c r="A49" s="17" t="s">
        <v>14</v>
      </c>
      <c r="B49" s="31">
        <v>6614</v>
      </c>
      <c r="C49" s="26">
        <v>522</v>
      </c>
      <c r="D49" s="26">
        <v>7121</v>
      </c>
      <c r="E49" s="25"/>
      <c r="F49" s="26">
        <v>485</v>
      </c>
    </row>
    <row r="50" spans="1:6" ht="15.75" hidden="1">
      <c r="A50" s="17" t="s">
        <v>15</v>
      </c>
      <c r="B50" s="31">
        <v>7636</v>
      </c>
      <c r="C50" s="26">
        <v>619</v>
      </c>
      <c r="D50" s="26">
        <v>7698</v>
      </c>
      <c r="E50" s="25"/>
      <c r="F50" s="26">
        <v>482</v>
      </c>
    </row>
    <row r="51" spans="1:6" ht="15.75" hidden="1">
      <c r="A51" s="17" t="s">
        <v>16</v>
      </c>
      <c r="B51" s="31">
        <v>6873</v>
      </c>
      <c r="C51" s="26">
        <v>333</v>
      </c>
      <c r="D51" s="26">
        <v>6746</v>
      </c>
      <c r="E51" s="25"/>
      <c r="F51" s="26">
        <v>614</v>
      </c>
    </row>
    <row r="52" spans="1:6" ht="15.75" hidden="1">
      <c r="A52" s="17" t="s">
        <v>17</v>
      </c>
      <c r="B52" s="31">
        <v>8098</v>
      </c>
      <c r="C52" s="26">
        <v>174</v>
      </c>
      <c r="D52" s="26">
        <v>8771</v>
      </c>
      <c r="E52" s="25"/>
      <c r="F52" s="26">
        <v>679</v>
      </c>
    </row>
    <row r="53" spans="1:6" ht="15.75" hidden="1">
      <c r="A53" s="32" t="s">
        <v>35</v>
      </c>
      <c r="B53" s="25"/>
      <c r="C53" s="26"/>
      <c r="D53" s="26"/>
      <c r="E53" s="25"/>
      <c r="F53" s="26"/>
    </row>
    <row r="54" spans="1:6" ht="15.75" hidden="1">
      <c r="A54" s="17" t="s">
        <v>12</v>
      </c>
      <c r="B54" s="25"/>
      <c r="C54" s="26"/>
      <c r="D54" s="26"/>
      <c r="E54" s="25"/>
      <c r="F54" s="26"/>
    </row>
    <row r="55" spans="1:6" ht="15.75" hidden="1">
      <c r="A55" s="17" t="s">
        <v>29</v>
      </c>
      <c r="B55" s="25">
        <v>2121</v>
      </c>
      <c r="C55" s="26">
        <v>191</v>
      </c>
      <c r="D55" s="26">
        <v>2446</v>
      </c>
      <c r="E55" s="25"/>
      <c r="F55" s="26">
        <v>242</v>
      </c>
    </row>
    <row r="56" spans="1:6" ht="15.75" hidden="1">
      <c r="A56" s="17" t="s">
        <v>30</v>
      </c>
      <c r="B56" s="25">
        <v>2197</v>
      </c>
      <c r="C56" s="26">
        <v>152</v>
      </c>
      <c r="D56" s="26">
        <v>1914</v>
      </c>
      <c r="E56" s="25"/>
      <c r="F56" s="26">
        <v>126</v>
      </c>
    </row>
    <row r="57" spans="1:6" ht="15.75" hidden="1">
      <c r="A57" s="17" t="s">
        <v>31</v>
      </c>
      <c r="B57" s="25">
        <v>2296</v>
      </c>
      <c r="C57" s="26">
        <v>179</v>
      </c>
      <c r="D57" s="26">
        <v>2761</v>
      </c>
      <c r="E57" s="25"/>
      <c r="F57" s="26">
        <v>117</v>
      </c>
    </row>
    <row r="58" spans="1:6" ht="15.75" hidden="1">
      <c r="A58" s="17" t="s">
        <v>19</v>
      </c>
      <c r="B58" s="25">
        <v>2395</v>
      </c>
      <c r="C58" s="26">
        <v>154</v>
      </c>
      <c r="D58" s="26">
        <v>2507</v>
      </c>
      <c r="E58" s="25" t="s">
        <v>9</v>
      </c>
      <c r="F58" s="26">
        <v>23</v>
      </c>
    </row>
    <row r="59" spans="1:6" ht="15.75" hidden="1">
      <c r="A59" s="17" t="s">
        <v>20</v>
      </c>
      <c r="B59" s="25">
        <v>2243</v>
      </c>
      <c r="C59" s="26">
        <v>181</v>
      </c>
      <c r="D59" s="26">
        <v>2574</v>
      </c>
      <c r="E59" s="25" t="s">
        <v>9</v>
      </c>
      <c r="F59" s="26">
        <v>199</v>
      </c>
    </row>
    <row r="60" spans="1:6" ht="15.75" hidden="1">
      <c r="A60" s="17" t="s">
        <v>21</v>
      </c>
      <c r="B60" s="25">
        <v>2998</v>
      </c>
      <c r="C60" s="26">
        <v>284</v>
      </c>
      <c r="D60" s="26">
        <v>2617</v>
      </c>
      <c r="E60" s="25" t="s">
        <v>9</v>
      </c>
      <c r="F60" s="26">
        <v>260</v>
      </c>
    </row>
    <row r="61" spans="1:6" ht="15.75" hidden="1">
      <c r="A61" s="17" t="s">
        <v>22</v>
      </c>
      <c r="B61" s="25">
        <v>2236</v>
      </c>
      <c r="C61" s="26">
        <v>199</v>
      </c>
      <c r="D61" s="26">
        <v>2337</v>
      </c>
      <c r="E61" s="25" t="s">
        <v>9</v>
      </c>
      <c r="F61" s="26">
        <v>237</v>
      </c>
    </row>
    <row r="62" spans="1:6" ht="15.75" hidden="1">
      <c r="A62" s="17" t="s">
        <v>23</v>
      </c>
      <c r="B62" s="25">
        <v>1827</v>
      </c>
      <c r="C62" s="26">
        <v>85</v>
      </c>
      <c r="D62" s="26">
        <v>1670</v>
      </c>
      <c r="E62" s="25" t="s">
        <v>9</v>
      </c>
      <c r="F62" s="26">
        <v>123</v>
      </c>
    </row>
    <row r="63" spans="1:6" ht="15.75" hidden="1">
      <c r="A63" s="17" t="s">
        <v>24</v>
      </c>
      <c r="B63" s="25">
        <f>2570+240</f>
        <v>2810</v>
      </c>
      <c r="C63" s="26">
        <v>49</v>
      </c>
      <c r="D63" s="26">
        <f>2295+444</f>
        <v>2739</v>
      </c>
      <c r="E63" s="25" t="s">
        <v>9</v>
      </c>
      <c r="F63" s="26">
        <v>254</v>
      </c>
    </row>
    <row r="64" spans="1:6" ht="15.75" hidden="1">
      <c r="A64" s="17" t="s">
        <v>25</v>
      </c>
      <c r="B64" s="25">
        <f>1978+582</f>
        <v>2560</v>
      </c>
      <c r="C64" s="26">
        <v>28</v>
      </c>
      <c r="D64" s="26">
        <f>2627+640</f>
        <v>3267</v>
      </c>
      <c r="E64" s="25" t="s">
        <v>9</v>
      </c>
      <c r="F64" s="26">
        <v>288</v>
      </c>
    </row>
    <row r="65" spans="1:6" ht="15.75" hidden="1">
      <c r="A65" s="17" t="s">
        <v>26</v>
      </c>
      <c r="B65" s="25">
        <f>2323+296</f>
        <v>2619</v>
      </c>
      <c r="C65" s="26">
        <v>52</v>
      </c>
      <c r="D65" s="26">
        <f>2780+292</f>
        <v>3072</v>
      </c>
      <c r="E65" s="25" t="s">
        <v>9</v>
      </c>
      <c r="F65" s="26">
        <v>202</v>
      </c>
    </row>
    <row r="66" spans="1:6" ht="15.75" hidden="1">
      <c r="A66" s="17" t="s">
        <v>27</v>
      </c>
      <c r="B66" s="25">
        <f>2856+63</f>
        <v>2919</v>
      </c>
      <c r="C66" s="26">
        <v>94</v>
      </c>
      <c r="D66" s="26">
        <f>2350+82</f>
        <v>2432</v>
      </c>
      <c r="E66" s="25" t="s">
        <v>9</v>
      </c>
      <c r="F66" s="26">
        <v>189</v>
      </c>
    </row>
    <row r="67" spans="1:6" ht="15.75" hidden="1">
      <c r="A67" s="17" t="s">
        <v>14</v>
      </c>
      <c r="B67" s="25">
        <v>7235</v>
      </c>
      <c r="C67" s="26">
        <v>564</v>
      </c>
      <c r="D67" s="26">
        <v>8325</v>
      </c>
      <c r="E67" s="25"/>
      <c r="F67" s="26">
        <v>1576</v>
      </c>
    </row>
    <row r="68" spans="1:6" ht="15.75" hidden="1">
      <c r="A68" s="17" t="s">
        <v>28</v>
      </c>
      <c r="B68" s="25"/>
      <c r="C68" s="26"/>
      <c r="D68" s="26"/>
      <c r="E68" s="25"/>
      <c r="F68" s="26"/>
    </row>
    <row r="69" spans="1:6" ht="15.75" hidden="1">
      <c r="A69" s="17" t="s">
        <v>29</v>
      </c>
      <c r="B69" s="25">
        <f>2452+167</f>
        <v>2619</v>
      </c>
      <c r="C69" s="26">
        <v>231</v>
      </c>
      <c r="D69" s="26">
        <f>1494+142</f>
        <v>1636</v>
      </c>
      <c r="E69" s="25" t="s">
        <v>9</v>
      </c>
      <c r="F69" s="26">
        <v>170</v>
      </c>
    </row>
    <row r="70" spans="1:6" ht="15.75" hidden="1">
      <c r="A70" s="17" t="s">
        <v>30</v>
      </c>
      <c r="B70" s="25">
        <f>2283+46</f>
        <v>2329</v>
      </c>
      <c r="C70" s="26">
        <v>99</v>
      </c>
      <c r="D70" s="26">
        <f>2779+162</f>
        <v>2941</v>
      </c>
      <c r="E70" s="25" t="s">
        <v>9</v>
      </c>
      <c r="F70" s="26">
        <v>115</v>
      </c>
    </row>
    <row r="71" spans="1:6" ht="15.75" hidden="1">
      <c r="A71" s="17" t="s">
        <v>31</v>
      </c>
      <c r="B71" s="25">
        <f>1625+81</f>
        <v>1706</v>
      </c>
      <c r="C71" s="26">
        <v>234</v>
      </c>
      <c r="D71" s="26">
        <f>2743+146</f>
        <v>2889</v>
      </c>
      <c r="E71" s="25" t="s">
        <v>9</v>
      </c>
      <c r="F71" s="26">
        <v>11</v>
      </c>
    </row>
    <row r="72" spans="1:6" ht="15.75" hidden="1">
      <c r="A72" s="17" t="s">
        <v>19</v>
      </c>
      <c r="B72" s="25">
        <f>2140+6</f>
        <v>2146</v>
      </c>
      <c r="C72" s="26">
        <v>140</v>
      </c>
      <c r="D72" s="26">
        <f>2368+7</f>
        <v>2375</v>
      </c>
      <c r="E72" s="25" t="s">
        <v>9</v>
      </c>
      <c r="F72" s="26">
        <v>57</v>
      </c>
    </row>
    <row r="73" spans="1:6" ht="15.75" hidden="1">
      <c r="A73" s="17" t="s">
        <v>20</v>
      </c>
      <c r="B73" s="25">
        <f>2359+289</f>
        <v>2648</v>
      </c>
      <c r="C73" s="26">
        <v>267</v>
      </c>
      <c r="D73" s="26">
        <f>2853+104</f>
        <v>2957</v>
      </c>
      <c r="E73" s="25" t="s">
        <v>34</v>
      </c>
      <c r="F73" s="26">
        <v>281</v>
      </c>
    </row>
    <row r="74" spans="1:6" ht="15.75" hidden="1">
      <c r="A74" s="17" t="s">
        <v>21</v>
      </c>
      <c r="B74" s="25">
        <f>1735+16+919</f>
        <v>2670</v>
      </c>
      <c r="C74" s="26">
        <v>258</v>
      </c>
      <c r="D74" s="26">
        <f>2449+527</f>
        <v>2976</v>
      </c>
      <c r="E74" s="25" t="s">
        <v>34</v>
      </c>
      <c r="F74" s="26">
        <v>262</v>
      </c>
    </row>
    <row r="75" spans="1:8" ht="15.75" hidden="1">
      <c r="A75" s="17" t="s">
        <v>22</v>
      </c>
      <c r="B75" s="31">
        <f>1551+1147</f>
        <v>2698</v>
      </c>
      <c r="C75" s="26">
        <v>223</v>
      </c>
      <c r="D75" s="26">
        <f>1763+680</f>
        <v>2443</v>
      </c>
      <c r="E75" s="25" t="s">
        <v>34</v>
      </c>
      <c r="F75" s="26">
        <v>96</v>
      </c>
      <c r="H75" s="4"/>
    </row>
    <row r="76" spans="1:6" ht="15.75" hidden="1">
      <c r="A76" s="17" t="s">
        <v>23</v>
      </c>
      <c r="B76" s="25">
        <f>1856+916</f>
        <v>2772</v>
      </c>
      <c r="C76" s="26">
        <v>253</v>
      </c>
      <c r="D76" s="26">
        <f>1996+757</f>
        <v>2753</v>
      </c>
      <c r="E76" s="25" t="s">
        <v>34</v>
      </c>
      <c r="F76" s="26">
        <v>277</v>
      </c>
    </row>
    <row r="77" spans="1:6" ht="15.75" hidden="1">
      <c r="A77" s="17" t="s">
        <v>24</v>
      </c>
      <c r="B77" s="25">
        <f>2087+14+514</f>
        <v>2615</v>
      </c>
      <c r="C77" s="26">
        <v>211</v>
      </c>
      <c r="D77" s="26">
        <f>2334+522</f>
        <v>2856</v>
      </c>
      <c r="E77" s="25" t="s">
        <v>34</v>
      </c>
      <c r="F77" s="26">
        <v>123</v>
      </c>
    </row>
    <row r="78" spans="1:6" ht="15.75" hidden="1">
      <c r="A78" s="17" t="s">
        <v>25</v>
      </c>
      <c r="B78" s="25">
        <f>2051+509</f>
        <v>2560</v>
      </c>
      <c r="C78" s="26">
        <v>179</v>
      </c>
      <c r="D78" s="26">
        <f>2469+521</f>
        <v>2990</v>
      </c>
      <c r="E78" s="25" t="s">
        <v>34</v>
      </c>
      <c r="F78" s="26">
        <v>162</v>
      </c>
    </row>
    <row r="79" spans="1:6" ht="15.75" hidden="1">
      <c r="A79" s="17" t="s">
        <v>26</v>
      </c>
      <c r="B79" s="25">
        <f>1665+752</f>
        <v>2417</v>
      </c>
      <c r="C79" s="26">
        <v>153</v>
      </c>
      <c r="D79" s="26">
        <f>1829+363</f>
        <v>2192</v>
      </c>
      <c r="E79" s="25" t="s">
        <v>34</v>
      </c>
      <c r="F79" s="26">
        <v>14</v>
      </c>
    </row>
    <row r="80" spans="1:6" ht="15.75" hidden="1">
      <c r="A80" s="17" t="s">
        <v>27</v>
      </c>
      <c r="B80" s="25">
        <f>1809+695</f>
        <v>2504</v>
      </c>
      <c r="C80" s="26">
        <v>153</v>
      </c>
      <c r="D80" s="26">
        <f>2174+529</f>
        <v>2703</v>
      </c>
      <c r="E80" s="25" t="s">
        <v>34</v>
      </c>
      <c r="F80" s="26">
        <v>161</v>
      </c>
    </row>
    <row r="81" spans="1:6" ht="15.75" hidden="1">
      <c r="A81" s="17" t="s">
        <v>15</v>
      </c>
      <c r="B81" s="25">
        <v>8037</v>
      </c>
      <c r="C81" s="26">
        <v>506</v>
      </c>
      <c r="D81" s="26">
        <v>9762</v>
      </c>
      <c r="E81" s="25">
        <v>0</v>
      </c>
      <c r="F81" s="26">
        <v>1122</v>
      </c>
    </row>
    <row r="82" spans="1:6" ht="15.75" hidden="1">
      <c r="A82" s="17" t="s">
        <v>16</v>
      </c>
      <c r="B82" s="25">
        <v>8576</v>
      </c>
      <c r="C82" s="26">
        <v>507</v>
      </c>
      <c r="D82" s="26">
        <v>8941</v>
      </c>
      <c r="E82" s="25"/>
      <c r="F82" s="26">
        <v>895</v>
      </c>
    </row>
    <row r="83" spans="1:6" ht="15.75" hidden="1">
      <c r="A83" s="17" t="s">
        <v>17</v>
      </c>
      <c r="B83" s="25">
        <v>8241</v>
      </c>
      <c r="C83" s="26">
        <v>626</v>
      </c>
      <c r="D83" s="26">
        <v>8184</v>
      </c>
      <c r="E83" s="25"/>
      <c r="F83" s="26">
        <v>1029</v>
      </c>
    </row>
    <row r="84" spans="1:8" ht="15.75" hidden="1">
      <c r="A84" s="17"/>
      <c r="B84" s="25">
        <f>SUM(B67:B83)</f>
        <v>61773</v>
      </c>
      <c r="C84" s="26">
        <f>SUM(C67:C83)</f>
        <v>4604</v>
      </c>
      <c r="D84" s="26">
        <f>SUM(D67:D83)</f>
        <v>66923</v>
      </c>
      <c r="E84" s="25"/>
      <c r="F84" s="26"/>
      <c r="H84">
        <f>1576+1122+895+1029</f>
        <v>4622</v>
      </c>
    </row>
    <row r="85" spans="1:6" ht="15.75" hidden="1">
      <c r="A85" s="32" t="s">
        <v>32</v>
      </c>
      <c r="B85" s="25"/>
      <c r="C85" s="26"/>
      <c r="D85" s="26"/>
      <c r="E85" s="25"/>
      <c r="F85" s="26"/>
    </row>
    <row r="86" spans="1:6" ht="15.75" hidden="1">
      <c r="A86" s="17" t="s">
        <v>29</v>
      </c>
      <c r="B86" s="25">
        <f>2253+228</f>
        <v>2481</v>
      </c>
      <c r="C86" s="26">
        <v>160</v>
      </c>
      <c r="D86" s="26">
        <f>2535+256</f>
        <v>2791</v>
      </c>
      <c r="E86" s="25" t="s">
        <v>34</v>
      </c>
      <c r="F86" s="26">
        <v>49</v>
      </c>
    </row>
    <row r="87" spans="1:6" ht="15.75" hidden="1">
      <c r="A87" s="17" t="s">
        <v>30</v>
      </c>
      <c r="B87" s="25">
        <f>1913+416</f>
        <v>2329</v>
      </c>
      <c r="C87" s="26">
        <v>118</v>
      </c>
      <c r="D87" s="26">
        <f>1906+365</f>
        <v>2271</v>
      </c>
      <c r="E87" s="25" t="s">
        <v>34</v>
      </c>
      <c r="F87" s="26">
        <v>57</v>
      </c>
    </row>
    <row r="88" spans="1:6" ht="15.75" hidden="1">
      <c r="A88" s="17" t="s">
        <v>31</v>
      </c>
      <c r="B88" s="31">
        <f>1785+648</f>
        <v>2433</v>
      </c>
      <c r="C88" s="26">
        <v>185</v>
      </c>
      <c r="D88" s="26">
        <f>1808+455</f>
        <v>2263</v>
      </c>
      <c r="E88" s="25" t="s">
        <v>34</v>
      </c>
      <c r="F88" s="26">
        <v>237</v>
      </c>
    </row>
    <row r="89" spans="1:6" ht="15.75" hidden="1">
      <c r="A89" s="17" t="s">
        <v>19</v>
      </c>
      <c r="B89" s="31">
        <f>1649+658</f>
        <v>2307</v>
      </c>
      <c r="C89" s="26">
        <v>145</v>
      </c>
      <c r="D89" s="26">
        <f>2028+642</f>
        <v>2670</v>
      </c>
      <c r="E89" s="25" t="s">
        <v>34</v>
      </c>
      <c r="F89" s="26">
        <v>57</v>
      </c>
    </row>
    <row r="90" spans="1:6" ht="15.75" hidden="1">
      <c r="A90" s="17" t="s">
        <v>20</v>
      </c>
      <c r="B90" s="31">
        <f>1495+14+965</f>
        <v>2474</v>
      </c>
      <c r="C90" s="26">
        <v>156</v>
      </c>
      <c r="D90" s="26">
        <f>2118+9+502</f>
        <v>2629</v>
      </c>
      <c r="E90" s="25" t="s">
        <v>34</v>
      </c>
      <c r="F90" s="26">
        <v>190</v>
      </c>
    </row>
    <row r="91" spans="1:6" ht="15.75" hidden="1">
      <c r="A91" s="17" t="s">
        <v>21</v>
      </c>
      <c r="B91" s="31">
        <f>1797+612</f>
        <v>2409</v>
      </c>
      <c r="C91" s="26">
        <v>173</v>
      </c>
      <c r="D91" s="26">
        <f>2197+624</f>
        <v>2821</v>
      </c>
      <c r="E91" s="25"/>
      <c r="F91" s="26">
        <v>96</v>
      </c>
    </row>
    <row r="92" spans="1:6" ht="15.75" hidden="1">
      <c r="A92" s="17" t="s">
        <v>22</v>
      </c>
      <c r="B92" s="31">
        <f>2093+372</f>
        <v>2465</v>
      </c>
      <c r="C92" s="26">
        <v>167</v>
      </c>
      <c r="D92" s="26">
        <f>2757+505</f>
        <v>3262</v>
      </c>
      <c r="E92" s="25"/>
      <c r="F92" s="26">
        <f>116+427</f>
        <v>543</v>
      </c>
    </row>
    <row r="93" spans="1:6" ht="15.75" hidden="1">
      <c r="A93" s="17" t="s">
        <v>23</v>
      </c>
      <c r="B93" s="31">
        <f>2591+437</f>
        <v>3028</v>
      </c>
      <c r="C93" s="26">
        <v>242</v>
      </c>
      <c r="D93" s="26">
        <f>2527+605</f>
        <v>3132</v>
      </c>
      <c r="E93" s="25"/>
      <c r="F93" s="26">
        <v>163</v>
      </c>
    </row>
    <row r="94" spans="1:6" ht="15.75" hidden="1">
      <c r="A94" s="17" t="s">
        <v>24</v>
      </c>
      <c r="B94" s="31">
        <f>1916+341</f>
        <v>2257</v>
      </c>
      <c r="C94" s="26">
        <v>156</v>
      </c>
      <c r="D94" s="26">
        <f>2190+493</f>
        <v>2683</v>
      </c>
      <c r="E94" s="25"/>
      <c r="F94" s="26">
        <v>108</v>
      </c>
    </row>
    <row r="95" spans="1:6" ht="15.75" hidden="1">
      <c r="A95" s="17" t="s">
        <v>25</v>
      </c>
      <c r="B95" s="31">
        <f>2246+417</f>
        <v>2663</v>
      </c>
      <c r="C95" s="26">
        <v>176</v>
      </c>
      <c r="D95" s="26">
        <f>2425+634</f>
        <v>3059</v>
      </c>
      <c r="E95" s="25"/>
      <c r="F95" s="26">
        <v>454</v>
      </c>
    </row>
    <row r="96" spans="1:6" ht="15.75" hidden="1">
      <c r="A96" s="17" t="s">
        <v>26</v>
      </c>
      <c r="B96" s="31">
        <f>1932+428</f>
        <v>2360</v>
      </c>
      <c r="C96" s="26">
        <v>180</v>
      </c>
      <c r="D96" s="26">
        <f>2441+501</f>
        <v>2942</v>
      </c>
      <c r="E96" s="25"/>
      <c r="F96" s="26">
        <v>268</v>
      </c>
    </row>
    <row r="97" spans="1:6" ht="15.75" hidden="1">
      <c r="A97" s="17" t="s">
        <v>27</v>
      </c>
      <c r="B97" s="31">
        <f>1872+18+442</f>
        <v>2332</v>
      </c>
      <c r="C97" s="26">
        <v>162</v>
      </c>
      <c r="D97" s="26">
        <f>1745+1+508</f>
        <v>2254</v>
      </c>
      <c r="E97" s="25"/>
      <c r="F97" s="26">
        <f>227+1</f>
        <v>228</v>
      </c>
    </row>
    <row r="98" spans="1:6" ht="15.75" hidden="1">
      <c r="A98" s="17"/>
      <c r="B98" s="31"/>
      <c r="C98" s="26"/>
      <c r="D98" s="26"/>
      <c r="E98" s="25"/>
      <c r="F98" s="26"/>
    </row>
    <row r="99" spans="1:6" ht="15.75" hidden="1">
      <c r="A99" s="32" t="s">
        <v>56</v>
      </c>
      <c r="B99" s="31">
        <v>24798</v>
      </c>
      <c r="C99" s="26">
        <v>1136</v>
      </c>
      <c r="D99" s="26">
        <v>28538</v>
      </c>
      <c r="E99" s="25"/>
      <c r="F99" s="26">
        <v>8370</v>
      </c>
    </row>
    <row r="100" spans="1:6" ht="15.75" hidden="1">
      <c r="A100" s="32" t="s">
        <v>60</v>
      </c>
      <c r="B100" s="31">
        <v>28668</v>
      </c>
      <c r="C100" s="26">
        <v>1127</v>
      </c>
      <c r="D100" s="26">
        <v>33472</v>
      </c>
      <c r="E100" s="25"/>
      <c r="F100" s="26">
        <v>8108</v>
      </c>
    </row>
    <row r="101" spans="1:6" ht="15.75" hidden="1">
      <c r="A101" s="17"/>
      <c r="B101" s="31"/>
      <c r="C101" s="26"/>
      <c r="D101" s="26"/>
      <c r="E101" s="25"/>
      <c r="F101" s="26"/>
    </row>
    <row r="102" spans="1:6" ht="15.75" hidden="1">
      <c r="A102" s="32" t="s">
        <v>41</v>
      </c>
      <c r="B102" s="31"/>
      <c r="C102" s="26"/>
      <c r="D102" s="26"/>
      <c r="E102" s="25"/>
      <c r="F102" s="26"/>
    </row>
    <row r="103" spans="1:6" ht="15.75" hidden="1">
      <c r="A103" s="17" t="s">
        <v>14</v>
      </c>
      <c r="B103" s="31">
        <v>7142</v>
      </c>
      <c r="C103" s="26">
        <v>544</v>
      </c>
      <c r="D103" s="26">
        <v>7514</v>
      </c>
      <c r="E103" s="25"/>
      <c r="F103" s="26">
        <v>906</v>
      </c>
    </row>
    <row r="104" spans="1:6" ht="15.75" hidden="1">
      <c r="A104" s="17" t="s">
        <v>15</v>
      </c>
      <c r="B104" s="31">
        <v>6452</v>
      </c>
      <c r="C104" s="26">
        <v>382</v>
      </c>
      <c r="D104" s="26">
        <v>6791</v>
      </c>
      <c r="E104" s="25"/>
      <c r="F104" s="26">
        <v>843</v>
      </c>
    </row>
    <row r="105" spans="1:6" ht="15.75" hidden="1">
      <c r="A105" s="17" t="s">
        <v>16</v>
      </c>
      <c r="B105" s="31">
        <v>6654</v>
      </c>
      <c r="C105" s="26">
        <v>517</v>
      </c>
      <c r="D105" s="26">
        <v>6133</v>
      </c>
      <c r="E105" s="25"/>
      <c r="F105" s="26">
        <v>1401</v>
      </c>
    </row>
    <row r="106" spans="1:6" ht="15.75" hidden="1">
      <c r="A106" s="17" t="s">
        <v>17</v>
      </c>
      <c r="B106" s="31">
        <v>6188</v>
      </c>
      <c r="C106" s="26">
        <v>229</v>
      </c>
      <c r="D106" s="26">
        <v>5171</v>
      </c>
      <c r="E106" s="25"/>
      <c r="F106" s="26">
        <v>1840</v>
      </c>
    </row>
    <row r="107" spans="1:6" ht="15.75" hidden="1">
      <c r="A107" s="17"/>
      <c r="B107" s="31"/>
      <c r="C107" s="26"/>
      <c r="D107" s="26"/>
      <c r="E107" s="25"/>
      <c r="F107" s="26"/>
    </row>
    <row r="108" spans="1:6" ht="15.75" hidden="1">
      <c r="A108" s="17"/>
      <c r="B108" s="33"/>
      <c r="C108" s="34"/>
      <c r="D108" s="34"/>
      <c r="E108" s="35"/>
      <c r="F108" s="34"/>
    </row>
    <row r="109" spans="1:6" ht="15.75" hidden="1">
      <c r="A109" s="32"/>
      <c r="B109" s="31"/>
      <c r="C109" s="26"/>
      <c r="D109" s="26"/>
      <c r="E109" s="25"/>
      <c r="F109" s="26"/>
    </row>
    <row r="110" spans="1:6" ht="15.75" hidden="1">
      <c r="A110" s="32" t="s">
        <v>52</v>
      </c>
      <c r="B110" s="31"/>
      <c r="C110" s="26"/>
      <c r="D110" s="26"/>
      <c r="E110" s="25"/>
      <c r="F110" s="26"/>
    </row>
    <row r="111" spans="1:6" ht="15.75" hidden="1">
      <c r="A111" s="17" t="s">
        <v>14</v>
      </c>
      <c r="B111" s="31">
        <v>6191</v>
      </c>
      <c r="C111" s="26">
        <v>160</v>
      </c>
      <c r="D111" s="26">
        <v>4999</v>
      </c>
      <c r="E111" s="25"/>
      <c r="F111" s="26">
        <v>1589</v>
      </c>
    </row>
    <row r="112" spans="1:6" ht="15.75" hidden="1">
      <c r="A112" s="17" t="s">
        <v>15</v>
      </c>
      <c r="B112" s="31">
        <v>5112</v>
      </c>
      <c r="C112" s="26">
        <v>195</v>
      </c>
      <c r="D112" s="26">
        <v>5596</v>
      </c>
      <c r="E112" s="25"/>
      <c r="F112" s="26">
        <v>2041</v>
      </c>
    </row>
    <row r="113" spans="1:6" ht="15.75" hidden="1">
      <c r="A113" s="17" t="s">
        <v>16</v>
      </c>
      <c r="B113" s="31">
        <v>6096</v>
      </c>
      <c r="C113" s="26">
        <v>151</v>
      </c>
      <c r="D113" s="26">
        <v>6256</v>
      </c>
      <c r="E113" s="25"/>
      <c r="F113" s="26">
        <v>1870</v>
      </c>
    </row>
    <row r="114" spans="1:6" ht="15.75" hidden="1">
      <c r="A114" s="17" t="s">
        <v>17</v>
      </c>
      <c r="B114" s="31">
        <v>5511</v>
      </c>
      <c r="C114" s="26">
        <v>109</v>
      </c>
      <c r="D114" s="26">
        <v>6369</v>
      </c>
      <c r="E114" s="25"/>
      <c r="F114" s="26">
        <v>2431</v>
      </c>
    </row>
    <row r="115" spans="1:6" ht="15.75" hidden="1">
      <c r="A115" s="17"/>
      <c r="B115" s="33"/>
      <c r="C115" s="34"/>
      <c r="D115" s="34"/>
      <c r="E115" s="35"/>
      <c r="F115" s="34"/>
    </row>
    <row r="116" spans="1:6" ht="15.75" hidden="1">
      <c r="A116" s="32" t="s">
        <v>35</v>
      </c>
      <c r="B116" s="31"/>
      <c r="C116" s="26"/>
      <c r="D116" s="26"/>
      <c r="E116" s="25"/>
      <c r="F116" s="26"/>
    </row>
    <row r="117" spans="1:6" ht="15.75" hidden="1">
      <c r="A117" s="17" t="s">
        <v>29</v>
      </c>
      <c r="B117" s="31">
        <f>2094+464</f>
        <v>2558</v>
      </c>
      <c r="C117" s="26">
        <v>216</v>
      </c>
      <c r="D117" s="26">
        <f>2455+368</f>
        <v>2823</v>
      </c>
      <c r="E117" s="25"/>
      <c r="F117" s="26">
        <v>210</v>
      </c>
    </row>
    <row r="118" spans="1:6" ht="15.75" hidden="1">
      <c r="A118" s="17" t="s">
        <v>30</v>
      </c>
      <c r="B118" s="31">
        <f>1983+335</f>
        <v>2318</v>
      </c>
      <c r="C118" s="26">
        <v>176</v>
      </c>
      <c r="D118" s="26">
        <f>2119+451</f>
        <v>2570</v>
      </c>
      <c r="E118" s="25"/>
      <c r="F118" s="26">
        <v>870</v>
      </c>
    </row>
    <row r="119" spans="1:6" ht="15.75" hidden="1">
      <c r="A119" s="17" t="s">
        <v>31</v>
      </c>
      <c r="B119" s="31">
        <f>1844+515</f>
        <v>2359</v>
      </c>
      <c r="C119" s="26">
        <v>172</v>
      </c>
      <c r="D119" s="26">
        <f>2107+825</f>
        <v>2932</v>
      </c>
      <c r="E119" s="25"/>
      <c r="F119" s="26">
        <v>496</v>
      </c>
    </row>
    <row r="120" spans="1:6" ht="15.75" hidden="1">
      <c r="A120" s="17" t="s">
        <v>19</v>
      </c>
      <c r="B120" s="31">
        <f>1873+787</f>
        <v>2660</v>
      </c>
      <c r="C120" s="26">
        <v>126</v>
      </c>
      <c r="D120" s="26">
        <f>2580+789</f>
        <v>3369</v>
      </c>
      <c r="E120" s="25"/>
      <c r="F120" s="26">
        <v>392</v>
      </c>
    </row>
    <row r="121" spans="1:6" ht="15.75" hidden="1">
      <c r="A121" s="17" t="s">
        <v>20</v>
      </c>
      <c r="B121" s="31">
        <f>2108+869</f>
        <v>2977</v>
      </c>
      <c r="C121" s="26">
        <v>177</v>
      </c>
      <c r="D121" s="26">
        <f>2394+991</f>
        <v>3385</v>
      </c>
      <c r="E121" s="25"/>
      <c r="F121" s="26">
        <v>434</v>
      </c>
    </row>
    <row r="122" spans="1:6" ht="15.75" hidden="1">
      <c r="A122" s="17" t="s">
        <v>21</v>
      </c>
      <c r="B122" s="31">
        <f>1926+8+452+14</f>
        <v>2400</v>
      </c>
      <c r="C122" s="26">
        <v>203</v>
      </c>
      <c r="D122" s="26">
        <f>2460+543+5</f>
        <v>3008</v>
      </c>
      <c r="E122" s="25"/>
      <c r="F122" s="26">
        <v>296</v>
      </c>
    </row>
    <row r="123" spans="1:6" ht="15.75" hidden="1">
      <c r="A123" s="17" t="s">
        <v>22</v>
      </c>
      <c r="B123" s="31">
        <f>2680+404</f>
        <v>3084</v>
      </c>
      <c r="C123" s="26">
        <v>205</v>
      </c>
      <c r="D123" s="26">
        <f>2754+337</f>
        <v>3091</v>
      </c>
      <c r="E123" s="25"/>
      <c r="F123" s="26">
        <v>415</v>
      </c>
    </row>
    <row r="124" spans="1:6" ht="15.75" hidden="1">
      <c r="A124" s="17" t="s">
        <v>23</v>
      </c>
      <c r="B124" s="31">
        <f>2548+297</f>
        <v>2845</v>
      </c>
      <c r="C124" s="26">
        <f>207</f>
        <v>207</v>
      </c>
      <c r="D124" s="26">
        <f>2827+347</f>
        <v>3174</v>
      </c>
      <c r="E124" s="25"/>
      <c r="F124" s="26">
        <v>206</v>
      </c>
    </row>
    <row r="125" spans="1:6" ht="15.75" hidden="1">
      <c r="A125" s="17" t="s">
        <v>24</v>
      </c>
      <c r="B125" s="31">
        <f>2633+14</f>
        <v>2647</v>
      </c>
      <c r="C125" s="26">
        <v>95</v>
      </c>
      <c r="D125" s="26">
        <f>2649+27</f>
        <v>2676</v>
      </c>
      <c r="E125" s="25"/>
      <c r="F125" s="26">
        <v>274</v>
      </c>
    </row>
    <row r="126" spans="1:6" ht="15.75" hidden="1">
      <c r="A126" s="17" t="s">
        <v>25</v>
      </c>
      <c r="B126" s="31">
        <f>2945+85</f>
        <v>3030</v>
      </c>
      <c r="C126" s="26">
        <v>210</v>
      </c>
      <c r="D126" s="26">
        <f>3224+1</f>
        <v>3225</v>
      </c>
      <c r="E126" s="25"/>
      <c r="F126" s="26">
        <v>401</v>
      </c>
    </row>
    <row r="127" spans="1:6" ht="15.75" hidden="1">
      <c r="A127" s="17" t="s">
        <v>26</v>
      </c>
      <c r="B127" s="31">
        <f>2366+23</f>
        <v>2389</v>
      </c>
      <c r="C127" s="26">
        <v>238</v>
      </c>
      <c r="D127" s="26">
        <f>2614+6</f>
        <v>2620</v>
      </c>
      <c r="E127" s="25"/>
      <c r="F127" s="26">
        <f>302+24</f>
        <v>326</v>
      </c>
    </row>
    <row r="128" spans="1:6" ht="15.75" hidden="1">
      <c r="A128" s="17" t="s">
        <v>27</v>
      </c>
      <c r="B128" s="31">
        <f>2810+12</f>
        <v>2822</v>
      </c>
      <c r="C128" s="26">
        <v>178</v>
      </c>
      <c r="D128" s="26">
        <f>2338+1</f>
        <v>2339</v>
      </c>
      <c r="E128" s="25"/>
      <c r="F128" s="26">
        <v>302</v>
      </c>
    </row>
    <row r="129" spans="1:6" ht="15.75" hidden="1">
      <c r="A129" s="17"/>
      <c r="B129" s="31"/>
      <c r="C129" s="26"/>
      <c r="D129" s="26"/>
      <c r="E129" s="25"/>
      <c r="F129" s="26"/>
    </row>
    <row r="130" spans="1:6" ht="15.75" hidden="1">
      <c r="A130" s="32" t="s">
        <v>41</v>
      </c>
      <c r="B130" s="31"/>
      <c r="C130" s="26"/>
      <c r="D130" s="26"/>
      <c r="E130" s="25"/>
      <c r="F130" s="26"/>
    </row>
    <row r="131" spans="1:6" ht="15.75" hidden="1">
      <c r="A131" s="17" t="s">
        <v>38</v>
      </c>
      <c r="B131" s="31">
        <v>2387</v>
      </c>
      <c r="C131" s="26">
        <v>191</v>
      </c>
      <c r="D131" s="26">
        <v>2599</v>
      </c>
      <c r="E131" s="25"/>
      <c r="F131" s="26">
        <v>250</v>
      </c>
    </row>
    <row r="132" spans="1:6" ht="15.75" hidden="1">
      <c r="A132" s="17" t="s">
        <v>39</v>
      </c>
      <c r="B132" s="31">
        <v>2236</v>
      </c>
      <c r="C132" s="26">
        <v>192</v>
      </c>
      <c r="D132" s="26">
        <v>2243</v>
      </c>
      <c r="E132" s="25"/>
      <c r="F132" s="26">
        <v>390</v>
      </c>
    </row>
    <row r="133" spans="1:6" ht="15.75" hidden="1">
      <c r="A133" s="17" t="s">
        <v>40</v>
      </c>
      <c r="B133" s="31">
        <v>2519</v>
      </c>
      <c r="C133" s="26">
        <v>161</v>
      </c>
      <c r="D133" s="26">
        <v>2672</v>
      </c>
      <c r="E133" s="25"/>
      <c r="F133" s="26">
        <v>266</v>
      </c>
    </row>
    <row r="134" spans="1:6" ht="15.75" hidden="1">
      <c r="A134" s="17" t="s">
        <v>42</v>
      </c>
      <c r="B134" s="31">
        <v>2180</v>
      </c>
      <c r="C134" s="26">
        <v>88</v>
      </c>
      <c r="D134" s="26">
        <v>2747</v>
      </c>
      <c r="E134" s="25"/>
      <c r="F134" s="26">
        <v>244</v>
      </c>
    </row>
    <row r="135" spans="1:6" ht="15.75" hidden="1">
      <c r="A135" s="17" t="s">
        <v>43</v>
      </c>
      <c r="B135" s="31">
        <v>1937</v>
      </c>
      <c r="C135" s="26">
        <v>84</v>
      </c>
      <c r="D135" s="26">
        <v>1778</v>
      </c>
      <c r="E135" s="25"/>
      <c r="F135" s="26">
        <v>199</v>
      </c>
    </row>
    <row r="136" spans="1:6" ht="15.75" hidden="1">
      <c r="A136" s="17" t="s">
        <v>44</v>
      </c>
      <c r="B136" s="31">
        <v>2335</v>
      </c>
      <c r="C136" s="26">
        <v>210</v>
      </c>
      <c r="D136" s="26">
        <v>2266</v>
      </c>
      <c r="E136" s="25"/>
      <c r="F136" s="26">
        <v>400</v>
      </c>
    </row>
    <row r="137" spans="1:6" ht="15.75" hidden="1">
      <c r="A137" s="17" t="s">
        <v>45</v>
      </c>
      <c r="B137" s="31">
        <v>2307</v>
      </c>
      <c r="C137" s="26">
        <v>176</v>
      </c>
      <c r="D137" s="26">
        <v>2086</v>
      </c>
      <c r="E137" s="25"/>
      <c r="F137" s="26">
        <v>531</v>
      </c>
    </row>
    <row r="138" spans="1:6" ht="15.75" hidden="1">
      <c r="A138" s="17" t="s">
        <v>46</v>
      </c>
      <c r="B138" s="31">
        <v>2280</v>
      </c>
      <c r="C138" s="26">
        <v>172</v>
      </c>
      <c r="D138" s="26">
        <v>1880</v>
      </c>
      <c r="E138" s="25"/>
      <c r="F138" s="26">
        <v>436</v>
      </c>
    </row>
    <row r="139" spans="1:6" ht="15.75" hidden="1">
      <c r="A139" s="17" t="s">
        <v>47</v>
      </c>
      <c r="B139" s="31">
        <v>2067</v>
      </c>
      <c r="C139" s="26">
        <v>169</v>
      </c>
      <c r="D139" s="26">
        <v>2167</v>
      </c>
      <c r="E139" s="25"/>
      <c r="F139" s="26">
        <v>434</v>
      </c>
    </row>
    <row r="140" spans="1:6" ht="15.75" hidden="1">
      <c r="A140" s="17" t="s">
        <v>48</v>
      </c>
      <c r="B140" s="31">
        <v>2176</v>
      </c>
      <c r="C140" s="26">
        <v>103</v>
      </c>
      <c r="D140" s="26">
        <v>2072</v>
      </c>
      <c r="E140" s="25"/>
      <c r="F140" s="26">
        <v>690</v>
      </c>
    </row>
    <row r="141" spans="1:6" ht="15.75" hidden="1">
      <c r="A141" s="17" t="s">
        <v>49</v>
      </c>
      <c r="B141" s="31">
        <v>1833</v>
      </c>
      <c r="C141" s="26">
        <v>47</v>
      </c>
      <c r="D141" s="26">
        <v>1513</v>
      </c>
      <c r="E141" s="25"/>
      <c r="F141" s="26">
        <v>471</v>
      </c>
    </row>
    <row r="142" spans="1:6" ht="15.75" hidden="1">
      <c r="A142" s="17" t="s">
        <v>50</v>
      </c>
      <c r="B142" s="31">
        <v>2179</v>
      </c>
      <c r="C142" s="26">
        <v>79</v>
      </c>
      <c r="D142" s="26">
        <v>1586</v>
      </c>
      <c r="E142" s="25"/>
      <c r="F142" s="26">
        <v>679</v>
      </c>
    </row>
    <row r="143" spans="1:6" ht="15.75" hidden="1">
      <c r="A143" s="17"/>
      <c r="B143" s="33"/>
      <c r="C143" s="34"/>
      <c r="D143" s="34"/>
      <c r="E143" s="35"/>
      <c r="F143" s="34"/>
    </row>
    <row r="144" spans="1:6" ht="15.75" hidden="1">
      <c r="A144" s="32" t="s">
        <v>62</v>
      </c>
      <c r="B144" s="31">
        <v>29440</v>
      </c>
      <c r="C144" s="26">
        <v>1355</v>
      </c>
      <c r="D144" s="26">
        <v>34212</v>
      </c>
      <c r="E144" s="25"/>
      <c r="F144" s="26">
        <v>7335</v>
      </c>
    </row>
    <row r="145" spans="1:6" ht="15.75" hidden="1">
      <c r="A145" s="17"/>
      <c r="B145" s="33"/>
      <c r="C145" s="34"/>
      <c r="D145" s="34"/>
      <c r="E145" s="35"/>
      <c r="F145" s="34"/>
    </row>
    <row r="146" spans="1:6" ht="15.75" hidden="1">
      <c r="A146" s="32"/>
      <c r="B146" s="33"/>
      <c r="C146" s="34"/>
      <c r="D146" s="34"/>
      <c r="E146" s="35"/>
      <c r="F146" s="34"/>
    </row>
    <row r="147" spans="1:6" ht="15.75" hidden="1">
      <c r="A147" s="32" t="s">
        <v>56</v>
      </c>
      <c r="B147" s="33"/>
      <c r="C147" s="34"/>
      <c r="D147" s="34"/>
      <c r="E147" s="35"/>
      <c r="F147" s="34"/>
    </row>
    <row r="148" spans="1:6" ht="15.75" hidden="1">
      <c r="A148" s="17" t="s">
        <v>14</v>
      </c>
      <c r="B148" s="31">
        <v>5898</v>
      </c>
      <c r="C148" s="26">
        <v>106</v>
      </c>
      <c r="D148" s="26">
        <v>6372</v>
      </c>
      <c r="E148" s="25"/>
      <c r="F148" s="26">
        <v>2469</v>
      </c>
    </row>
    <row r="149" spans="1:6" ht="15.75" hidden="1">
      <c r="A149" s="17" t="s">
        <v>15</v>
      </c>
      <c r="B149" s="31">
        <v>5698</v>
      </c>
      <c r="C149" s="26">
        <v>343</v>
      </c>
      <c r="D149" s="26">
        <v>7250</v>
      </c>
      <c r="E149" s="25"/>
      <c r="F149" s="26">
        <v>1532</v>
      </c>
    </row>
    <row r="150" spans="1:6" ht="15.75" hidden="1">
      <c r="A150" s="17" t="s">
        <v>16</v>
      </c>
      <c r="B150" s="31">
        <v>6886</v>
      </c>
      <c r="C150" s="26">
        <v>262</v>
      </c>
      <c r="D150" s="26">
        <v>7211</v>
      </c>
      <c r="E150" s="25"/>
      <c r="F150" s="26">
        <v>1810</v>
      </c>
    </row>
    <row r="151" spans="1:6" ht="15.75" hidden="1">
      <c r="A151" s="17" t="s">
        <v>17</v>
      </c>
      <c r="B151" s="31">
        <v>6316</v>
      </c>
      <c r="C151" s="26">
        <v>425</v>
      </c>
      <c r="D151" s="26">
        <v>7705</v>
      </c>
      <c r="E151" s="25"/>
      <c r="F151" s="26">
        <v>2559</v>
      </c>
    </row>
    <row r="152" spans="1:6" ht="15.75" hidden="1">
      <c r="A152" s="32" t="s">
        <v>64</v>
      </c>
      <c r="B152" s="31">
        <v>28702</v>
      </c>
      <c r="C152" s="26">
        <v>1445</v>
      </c>
      <c r="D152" s="26">
        <v>33793</v>
      </c>
      <c r="E152" s="25"/>
      <c r="F152" s="26">
        <v>6988</v>
      </c>
    </row>
    <row r="153" spans="1:6" ht="15.75" hidden="1">
      <c r="A153" s="17"/>
      <c r="B153" s="31"/>
      <c r="C153" s="26"/>
      <c r="D153" s="26"/>
      <c r="E153" s="25"/>
      <c r="F153" s="26"/>
    </row>
    <row r="154" spans="1:6" ht="15.75" hidden="1">
      <c r="A154" s="28">
        <v>2009</v>
      </c>
      <c r="B154" s="31">
        <v>30736</v>
      </c>
      <c r="C154" s="26">
        <v>1710</v>
      </c>
      <c r="D154" s="26">
        <v>32262</v>
      </c>
      <c r="E154" s="25">
        <v>0</v>
      </c>
      <c r="F154" s="26">
        <v>7256</v>
      </c>
    </row>
    <row r="155" spans="1:6" ht="15.75" hidden="1">
      <c r="A155" s="28">
        <v>2009</v>
      </c>
      <c r="B155" s="31"/>
      <c r="C155" s="26"/>
      <c r="D155" s="26"/>
      <c r="E155" s="25"/>
      <c r="F155" s="26"/>
    </row>
    <row r="156" spans="1:6" ht="15.75" hidden="1">
      <c r="A156" s="28">
        <v>2009</v>
      </c>
      <c r="B156" s="31"/>
      <c r="C156" s="26"/>
      <c r="D156" s="26"/>
      <c r="E156" s="25"/>
      <c r="F156" s="26"/>
    </row>
    <row r="157" spans="1:6" ht="15.75" hidden="1">
      <c r="A157" s="28">
        <v>2009</v>
      </c>
      <c r="B157" s="31">
        <v>7164</v>
      </c>
      <c r="C157" s="26">
        <v>308</v>
      </c>
      <c r="D157" s="26">
        <v>8285</v>
      </c>
      <c r="E157" s="25"/>
      <c r="F157" s="26">
        <v>2153</v>
      </c>
    </row>
    <row r="158" spans="1:6" ht="15.75" hidden="1">
      <c r="A158" s="28">
        <v>2009</v>
      </c>
      <c r="B158" s="31">
        <v>7057</v>
      </c>
      <c r="C158" s="26">
        <v>318</v>
      </c>
      <c r="D158" s="26">
        <v>8004</v>
      </c>
      <c r="E158" s="25"/>
      <c r="F158" s="26">
        <v>2450</v>
      </c>
    </row>
    <row r="159" spans="1:6" ht="15.75" hidden="1">
      <c r="A159" s="28">
        <v>2009</v>
      </c>
      <c r="B159" s="31">
        <v>7306</v>
      </c>
      <c r="C159" s="26">
        <v>297</v>
      </c>
      <c r="D159" s="26">
        <v>8842</v>
      </c>
      <c r="E159" s="25"/>
      <c r="F159" s="26">
        <v>2011</v>
      </c>
    </row>
    <row r="160" spans="1:6" ht="15.75" hidden="1">
      <c r="A160" s="28">
        <v>2009</v>
      </c>
      <c r="B160" s="31">
        <v>7141</v>
      </c>
      <c r="C160" s="26">
        <v>204</v>
      </c>
      <c r="D160" s="26">
        <v>8341</v>
      </c>
      <c r="E160" s="25"/>
      <c r="F160" s="26">
        <v>1494</v>
      </c>
    </row>
    <row r="161" spans="1:6" ht="15.75" hidden="1">
      <c r="A161" s="28">
        <v>2009</v>
      </c>
      <c r="B161" s="33"/>
      <c r="C161" s="34"/>
      <c r="D161" s="34"/>
      <c r="E161" s="35"/>
      <c r="F161" s="34"/>
    </row>
    <row r="162" spans="1:6" ht="15.75" hidden="1">
      <c r="A162" s="28">
        <v>2009</v>
      </c>
      <c r="B162" s="31"/>
      <c r="C162" s="26"/>
      <c r="D162" s="26"/>
      <c r="E162" s="25"/>
      <c r="F162" s="26"/>
    </row>
    <row r="163" spans="1:6" ht="15.75" hidden="1">
      <c r="A163" s="28">
        <v>2009</v>
      </c>
      <c r="B163" s="31">
        <v>2080</v>
      </c>
      <c r="C163" s="26">
        <v>57</v>
      </c>
      <c r="D163" s="26">
        <v>1466</v>
      </c>
      <c r="E163" s="25"/>
      <c r="F163" s="26">
        <v>565</v>
      </c>
    </row>
    <row r="164" spans="1:6" ht="15.75" hidden="1">
      <c r="A164" s="28">
        <v>2009</v>
      </c>
      <c r="B164" s="31">
        <v>1922</v>
      </c>
      <c r="C164" s="26">
        <v>57</v>
      </c>
      <c r="D164" s="26">
        <v>1714</v>
      </c>
      <c r="E164" s="25"/>
      <c r="F164" s="26">
        <v>626</v>
      </c>
    </row>
    <row r="165" spans="1:6" ht="15.75" hidden="1">
      <c r="A165" s="28">
        <v>2009</v>
      </c>
      <c r="B165" s="31">
        <v>2189</v>
      </c>
      <c r="C165" s="26">
        <v>46</v>
      </c>
      <c r="D165" s="26">
        <v>1819</v>
      </c>
      <c r="E165" s="25"/>
      <c r="F165" s="26">
        <v>398</v>
      </c>
    </row>
    <row r="166" spans="1:6" ht="15.75" hidden="1">
      <c r="A166" s="28">
        <v>2009</v>
      </c>
      <c r="B166" s="31">
        <v>1878</v>
      </c>
      <c r="C166" s="26">
        <v>68</v>
      </c>
      <c r="D166" s="26">
        <v>1477</v>
      </c>
      <c r="E166" s="25"/>
      <c r="F166" s="26">
        <v>517</v>
      </c>
    </row>
    <row r="167" spans="1:6" ht="15.75" hidden="1">
      <c r="A167" s="28">
        <v>2009</v>
      </c>
      <c r="B167" s="31"/>
      <c r="C167" s="26"/>
      <c r="D167" s="26"/>
      <c r="E167" s="25"/>
      <c r="F167" s="26"/>
    </row>
    <row r="168" spans="1:6" ht="15.75" hidden="1">
      <c r="A168" s="28">
        <v>2009</v>
      </c>
      <c r="B168" s="31">
        <v>1452</v>
      </c>
      <c r="C168" s="26">
        <v>77</v>
      </c>
      <c r="D168" s="26">
        <v>2188</v>
      </c>
      <c r="E168" s="25"/>
      <c r="F168" s="26">
        <v>729</v>
      </c>
    </row>
    <row r="169" spans="1:6" ht="15.75" hidden="1">
      <c r="A169" s="28">
        <v>2009</v>
      </c>
      <c r="B169" s="31">
        <v>1782</v>
      </c>
      <c r="C169" s="26">
        <v>50</v>
      </c>
      <c r="D169" s="26">
        <v>1931</v>
      </c>
      <c r="E169" s="25"/>
      <c r="F169" s="26">
        <v>795</v>
      </c>
    </row>
    <row r="170" spans="1:6" ht="15.75" hidden="1">
      <c r="A170" s="28">
        <v>2009</v>
      </c>
      <c r="B170" s="31">
        <v>1910</v>
      </c>
      <c r="C170" s="26">
        <v>37</v>
      </c>
      <c r="D170" s="26">
        <v>1937</v>
      </c>
      <c r="E170" s="25"/>
      <c r="F170" s="26">
        <v>729</v>
      </c>
    </row>
    <row r="171" spans="1:6" ht="15.75" hidden="1">
      <c r="A171" s="28">
        <v>2009</v>
      </c>
      <c r="B171" s="31">
        <v>2180</v>
      </c>
      <c r="C171" s="26">
        <v>38</v>
      </c>
      <c r="D171" s="26">
        <v>1598</v>
      </c>
      <c r="E171" s="25"/>
      <c r="F171" s="26">
        <v>562</v>
      </c>
    </row>
    <row r="172" spans="1:6" ht="15.75" hidden="1">
      <c r="A172" s="28">
        <v>2009</v>
      </c>
      <c r="B172" s="31">
        <v>2006</v>
      </c>
      <c r="C172" s="26">
        <v>76</v>
      </c>
      <c r="D172" s="26">
        <v>2721</v>
      </c>
      <c r="E172" s="25"/>
      <c r="F172" s="26">
        <v>579</v>
      </c>
    </row>
    <row r="173" spans="1:6" ht="15.75" hidden="1">
      <c r="A173" s="28">
        <v>2009</v>
      </c>
      <c r="B173" s="31">
        <v>1669</v>
      </c>
      <c r="C173" s="26">
        <v>35</v>
      </c>
      <c r="D173" s="26">
        <v>1938</v>
      </c>
      <c r="E173" s="25"/>
      <c r="F173" s="26">
        <v>930</v>
      </c>
    </row>
    <row r="174" spans="1:6" ht="15.75" hidden="1">
      <c r="A174" s="28">
        <v>2009</v>
      </c>
      <c r="B174" s="31">
        <v>1810</v>
      </c>
      <c r="C174" s="26">
        <v>9</v>
      </c>
      <c r="D174" s="26">
        <v>2173</v>
      </c>
      <c r="E174" s="25"/>
      <c r="F174" s="26">
        <v>708</v>
      </c>
    </row>
    <row r="175" spans="1:6" ht="15.75" hidden="1">
      <c r="A175" s="28">
        <v>2009</v>
      </c>
      <c r="B175" s="31">
        <v>2032</v>
      </c>
      <c r="C175" s="26">
        <v>65</v>
      </c>
      <c r="D175" s="26">
        <v>2258</v>
      </c>
      <c r="E175" s="25"/>
      <c r="F175" s="26">
        <v>793</v>
      </c>
    </row>
    <row r="176" spans="1:6" ht="15.75" hidden="1">
      <c r="A176" s="28">
        <v>2010</v>
      </c>
      <c r="B176" s="36">
        <f>SUM(B288:B299)</f>
        <v>32848</v>
      </c>
      <c r="C176" s="36">
        <f>SUM(C288:C299)</f>
        <v>3414</v>
      </c>
      <c r="D176" s="36">
        <f>SUM(D288:D299)</f>
        <v>31001</v>
      </c>
      <c r="E176" s="31">
        <f>SUM(E288:E299)</f>
        <v>0</v>
      </c>
      <c r="F176" s="37">
        <f>SUM(F288:F299)</f>
        <v>5612</v>
      </c>
    </row>
    <row r="177" spans="1:6" ht="15.75" hidden="1">
      <c r="A177" s="28">
        <v>2011</v>
      </c>
      <c r="B177" s="36">
        <f>B232+B233+B234+B235</f>
        <v>36561</v>
      </c>
      <c r="C177" s="36">
        <f>C232+C233+C234+C235</f>
        <v>3359</v>
      </c>
      <c r="D177" s="36">
        <f>D232+D233+D234+D235</f>
        <v>35427</v>
      </c>
      <c r="E177" s="31">
        <f>E232+E233+E234+E235</f>
        <v>0</v>
      </c>
      <c r="F177" s="37">
        <f>F232+F233+F234+F235</f>
        <v>5406</v>
      </c>
    </row>
    <row r="178" spans="1:6" ht="15.75">
      <c r="A178" s="28">
        <v>2012</v>
      </c>
      <c r="B178" s="36">
        <f>B238+B239+B240+B241</f>
        <v>43616</v>
      </c>
      <c r="C178" s="36">
        <f>C238+C239+C240+C241</f>
        <v>2934</v>
      </c>
      <c r="D178" s="36">
        <f>D238+D239+D240+D241</f>
        <v>36000</v>
      </c>
      <c r="E178" s="31">
        <f>E238+E239+E240+E241</f>
        <v>0</v>
      </c>
      <c r="F178" s="37">
        <f>F238+F239+F240+F241</f>
        <v>4822</v>
      </c>
    </row>
    <row r="179" spans="1:6" ht="15.75">
      <c r="A179" s="28">
        <v>2013</v>
      </c>
      <c r="B179" s="36">
        <f>B244+B245+B246+B247</f>
        <v>38855</v>
      </c>
      <c r="C179" s="36">
        <f>C244+C245+C246+C247</f>
        <v>3644</v>
      </c>
      <c r="D179" s="36">
        <f>D244+D245+D246+D247</f>
        <v>31755</v>
      </c>
      <c r="E179" s="36">
        <f>E244+E245+E246+E247</f>
        <v>0</v>
      </c>
      <c r="F179" s="36">
        <f>F244+F245+F246+F247</f>
        <v>5291</v>
      </c>
    </row>
    <row r="180" spans="1:6" ht="15.75" hidden="1">
      <c r="A180" s="28">
        <v>2013</v>
      </c>
      <c r="B180" s="31"/>
      <c r="C180" s="26"/>
      <c r="D180" s="26"/>
      <c r="E180" s="25"/>
      <c r="F180" s="26"/>
    </row>
    <row r="181" spans="1:6" ht="15.75" hidden="1">
      <c r="A181" s="28">
        <v>2013</v>
      </c>
      <c r="B181" s="31">
        <v>7474</v>
      </c>
      <c r="C181" s="26">
        <v>284</v>
      </c>
      <c r="D181" s="26">
        <v>8019</v>
      </c>
      <c r="E181" s="25"/>
      <c r="F181" s="26">
        <v>1852</v>
      </c>
    </row>
    <row r="182" spans="1:6" ht="15.75" hidden="1">
      <c r="A182" s="28">
        <v>2013</v>
      </c>
      <c r="B182" s="31">
        <v>7776</v>
      </c>
      <c r="C182" s="26">
        <v>422</v>
      </c>
      <c r="D182" s="26">
        <v>9248</v>
      </c>
      <c r="E182" s="25"/>
      <c r="F182" s="26">
        <v>1909</v>
      </c>
    </row>
    <row r="183" spans="1:6" ht="15.75" hidden="1">
      <c r="A183" s="28">
        <v>2013</v>
      </c>
      <c r="B183" s="31">
        <v>7879</v>
      </c>
      <c r="C183" s="26">
        <v>337</v>
      </c>
      <c r="D183" s="26">
        <v>9407</v>
      </c>
      <c r="E183" s="25"/>
      <c r="F183" s="26">
        <v>1513</v>
      </c>
    </row>
    <row r="184" spans="1:6" ht="15.75" hidden="1">
      <c r="A184" s="28">
        <v>2013</v>
      </c>
      <c r="B184" s="31">
        <v>5573</v>
      </c>
      <c r="C184" s="26">
        <v>402</v>
      </c>
      <c r="D184" s="26">
        <v>7119</v>
      </c>
      <c r="E184" s="25"/>
      <c r="F184" s="26">
        <v>1714</v>
      </c>
    </row>
    <row r="185" spans="1:6" ht="15.75" hidden="1">
      <c r="A185" s="28">
        <v>2013</v>
      </c>
      <c r="B185" s="33"/>
      <c r="C185" s="34"/>
      <c r="D185" s="34"/>
      <c r="E185" s="35"/>
      <c r="F185" s="34"/>
    </row>
    <row r="186" spans="1:6" ht="15.75" hidden="1">
      <c r="A186" s="28">
        <v>2013</v>
      </c>
      <c r="B186" s="31"/>
      <c r="C186" s="26"/>
      <c r="D186" s="26"/>
      <c r="E186" s="25"/>
      <c r="F186" s="26"/>
    </row>
    <row r="187" spans="1:6" ht="15.75" hidden="1">
      <c r="A187" s="28">
        <v>2013</v>
      </c>
      <c r="B187" s="31"/>
      <c r="C187" s="26"/>
      <c r="D187" s="26"/>
      <c r="E187" s="25"/>
      <c r="F187" s="26"/>
    </row>
    <row r="188" spans="1:6" ht="15.75" hidden="1">
      <c r="A188" s="28">
        <v>2013</v>
      </c>
      <c r="B188" s="31">
        <v>2485</v>
      </c>
      <c r="C188" s="26">
        <v>160</v>
      </c>
      <c r="D188" s="26">
        <v>2780</v>
      </c>
      <c r="E188" s="25"/>
      <c r="F188" s="26">
        <v>641</v>
      </c>
    </row>
    <row r="189" spans="1:6" ht="15.75" hidden="1">
      <c r="A189" s="28">
        <v>2013</v>
      </c>
      <c r="B189" s="31">
        <v>2132</v>
      </c>
      <c r="C189" s="26">
        <v>122</v>
      </c>
      <c r="D189" s="26">
        <v>2704</v>
      </c>
      <c r="E189" s="25"/>
      <c r="F189" s="26">
        <v>697</v>
      </c>
    </row>
    <row r="190" spans="1:6" ht="15.75" hidden="1">
      <c r="A190" s="28">
        <v>2013</v>
      </c>
      <c r="B190" s="31">
        <v>2547</v>
      </c>
      <c r="C190" s="26">
        <v>26</v>
      </c>
      <c r="D190" s="26">
        <v>2801</v>
      </c>
      <c r="E190" s="25"/>
      <c r="F190" s="26">
        <v>815</v>
      </c>
    </row>
    <row r="191" spans="1:6" ht="15.75" hidden="1">
      <c r="A191" s="28">
        <v>2013</v>
      </c>
      <c r="B191" s="31">
        <v>2343</v>
      </c>
      <c r="C191" s="26">
        <v>104</v>
      </c>
      <c r="D191" s="26">
        <v>2795</v>
      </c>
      <c r="E191" s="25"/>
      <c r="F191" s="26">
        <v>1105</v>
      </c>
    </row>
    <row r="192" spans="1:6" ht="15.75" hidden="1">
      <c r="A192" s="28">
        <v>2013</v>
      </c>
      <c r="B192" s="31">
        <v>2441</v>
      </c>
      <c r="C192" s="26">
        <v>98</v>
      </c>
      <c r="D192" s="26">
        <v>2602</v>
      </c>
      <c r="E192" s="25"/>
      <c r="F192" s="26">
        <v>436</v>
      </c>
    </row>
    <row r="193" spans="1:6" ht="15.75" hidden="1">
      <c r="A193" s="28">
        <v>2013</v>
      </c>
      <c r="B193" s="31">
        <v>2273</v>
      </c>
      <c r="C193" s="26">
        <v>116</v>
      </c>
      <c r="D193" s="26">
        <v>2607</v>
      </c>
      <c r="E193" s="25"/>
      <c r="F193" s="26">
        <v>909</v>
      </c>
    </row>
    <row r="194" spans="1:6" ht="15.75" hidden="1">
      <c r="A194" s="28">
        <v>2013</v>
      </c>
      <c r="B194" s="31">
        <v>2398</v>
      </c>
      <c r="C194" s="26">
        <v>63</v>
      </c>
      <c r="D194" s="26">
        <v>2830</v>
      </c>
      <c r="E194" s="25"/>
      <c r="F194" s="26">
        <v>1055</v>
      </c>
    </row>
    <row r="195" spans="1:6" ht="15.75" hidden="1">
      <c r="A195" s="28">
        <v>2013</v>
      </c>
      <c r="B195" s="31">
        <v>2683</v>
      </c>
      <c r="C195" s="26">
        <v>178</v>
      </c>
      <c r="D195" s="26">
        <v>2977</v>
      </c>
      <c r="E195" s="25"/>
      <c r="F195" s="26">
        <v>388</v>
      </c>
    </row>
    <row r="196" spans="1:6" ht="15.75" hidden="1">
      <c r="A196" s="28">
        <v>2013</v>
      </c>
      <c r="B196" s="31">
        <v>2225</v>
      </c>
      <c r="C196" s="26">
        <v>56</v>
      </c>
      <c r="D196" s="26">
        <v>3035</v>
      </c>
      <c r="E196" s="25"/>
      <c r="F196" s="26">
        <v>568</v>
      </c>
    </row>
    <row r="197" spans="1:6" ht="15.75" hidden="1">
      <c r="A197" s="28">
        <v>2013</v>
      </c>
      <c r="B197" s="31">
        <v>2328</v>
      </c>
      <c r="C197" s="26">
        <v>43</v>
      </c>
      <c r="D197" s="26">
        <v>2868</v>
      </c>
      <c r="E197" s="25"/>
      <c r="F197" s="26">
        <v>610</v>
      </c>
    </row>
    <row r="198" spans="1:6" ht="15.75" hidden="1">
      <c r="A198" s="28">
        <v>2013</v>
      </c>
      <c r="B198" s="31">
        <v>2366</v>
      </c>
      <c r="C198" s="26">
        <v>44</v>
      </c>
      <c r="D198" s="26">
        <v>2869</v>
      </c>
      <c r="E198" s="25"/>
      <c r="F198" s="26">
        <v>342</v>
      </c>
    </row>
    <row r="199" spans="1:6" ht="15.75" hidden="1">
      <c r="A199" s="28">
        <v>2013</v>
      </c>
      <c r="B199" s="31">
        <v>2447</v>
      </c>
      <c r="C199" s="26">
        <v>117</v>
      </c>
      <c r="D199" s="26">
        <v>2604</v>
      </c>
      <c r="E199" s="25"/>
      <c r="F199" s="26">
        <v>542</v>
      </c>
    </row>
    <row r="200" spans="1:6" ht="15.75">
      <c r="A200" s="28">
        <v>2014</v>
      </c>
      <c r="B200" s="36">
        <f>B250+B251+B252+B253</f>
        <v>37313</v>
      </c>
      <c r="C200" s="36">
        <f>C250+C251+C252+C253</f>
        <v>1566.8799999999999</v>
      </c>
      <c r="D200" s="36">
        <f>D250+D251+D252+D253</f>
        <v>30845.2</v>
      </c>
      <c r="E200" s="36">
        <f>E250+E251+E252+E253</f>
        <v>0</v>
      </c>
      <c r="F200" s="36">
        <f>F250+F251+F252+F253</f>
        <v>5246.25</v>
      </c>
    </row>
    <row r="201" spans="1:6" ht="15.75">
      <c r="A201" s="28">
        <v>2015</v>
      </c>
      <c r="B201" s="36">
        <f>B256+B257+B258+B259</f>
        <v>31537</v>
      </c>
      <c r="C201" s="36">
        <f>C256+C257+C258+C259</f>
        <v>510</v>
      </c>
      <c r="D201" s="36">
        <f>D256+D257+D258+D259</f>
        <v>23122</v>
      </c>
      <c r="E201" s="36">
        <f>E256+E257+E258+E259</f>
        <v>0</v>
      </c>
      <c r="F201" s="36">
        <f>F256+F257+F258+F259</f>
        <v>3488</v>
      </c>
    </row>
    <row r="202" spans="1:6" ht="15.75">
      <c r="A202" s="28">
        <v>2016</v>
      </c>
      <c r="B202" s="36">
        <f>B262+B263+B264+B265</f>
        <v>23342</v>
      </c>
      <c r="C202" s="36">
        <f>C262+C263+C264+C265</f>
        <v>336</v>
      </c>
      <c r="D202" s="36">
        <f>D262+D263+D264+D265</f>
        <v>19483</v>
      </c>
      <c r="E202" s="36">
        <f>E262+E263+E264+E265</f>
        <v>0</v>
      </c>
      <c r="F202" s="36">
        <f>F262+F263+F264+F265</f>
        <v>1966</v>
      </c>
    </row>
    <row r="203" spans="1:6" ht="15.75">
      <c r="A203" s="17"/>
      <c r="B203" s="31"/>
      <c r="C203" s="26"/>
      <c r="D203" s="26"/>
      <c r="E203" s="25"/>
      <c r="F203" s="26"/>
    </row>
    <row r="204" spans="1:6" ht="15.75" hidden="1">
      <c r="A204" s="17"/>
      <c r="B204" s="31"/>
      <c r="C204" s="26"/>
      <c r="D204" s="26"/>
      <c r="E204" s="25"/>
      <c r="F204" s="26"/>
    </row>
    <row r="205" spans="1:6" ht="15.75" hidden="1">
      <c r="A205" s="32" t="s">
        <v>66</v>
      </c>
      <c r="B205" s="31"/>
      <c r="C205" s="26"/>
      <c r="D205" s="26"/>
      <c r="E205" s="25"/>
      <c r="F205" s="26"/>
    </row>
    <row r="206" spans="1:6" ht="15.75" hidden="1">
      <c r="A206" s="17" t="s">
        <v>14</v>
      </c>
      <c r="B206" s="31">
        <v>6632</v>
      </c>
      <c r="C206" s="26">
        <v>191</v>
      </c>
      <c r="D206" s="26">
        <v>7106</v>
      </c>
      <c r="E206" s="25"/>
      <c r="F206" s="26">
        <v>1589</v>
      </c>
    </row>
    <row r="207" spans="1:6" ht="15.75" hidden="1">
      <c r="A207" s="17" t="s">
        <v>15</v>
      </c>
      <c r="B207" s="31">
        <v>7616</v>
      </c>
      <c r="C207" s="26">
        <v>339</v>
      </c>
      <c r="D207" s="26">
        <v>8421</v>
      </c>
      <c r="E207" s="25"/>
      <c r="F207" s="26">
        <v>1608</v>
      </c>
    </row>
    <row r="208" spans="1:6" ht="15.75" hidden="1">
      <c r="A208" s="17" t="s">
        <v>16</v>
      </c>
      <c r="B208" s="31">
        <v>8506</v>
      </c>
      <c r="C208" s="26">
        <v>421</v>
      </c>
      <c r="D208" s="26">
        <v>8240</v>
      </c>
      <c r="E208" s="25"/>
      <c r="F208" s="26">
        <v>2196</v>
      </c>
    </row>
    <row r="209" spans="1:6" ht="15.75" hidden="1">
      <c r="A209" s="17" t="s">
        <v>17</v>
      </c>
      <c r="B209" s="31">
        <v>7982</v>
      </c>
      <c r="C209" s="26">
        <v>759</v>
      </c>
      <c r="D209" s="26">
        <v>8495</v>
      </c>
      <c r="E209" s="25">
        <v>0</v>
      </c>
      <c r="F209" s="26">
        <v>1863</v>
      </c>
    </row>
    <row r="210" spans="1:6" ht="15.75" hidden="1">
      <c r="A210" s="17"/>
      <c r="B210" s="33"/>
      <c r="C210" s="38"/>
      <c r="D210" s="38"/>
      <c r="E210" s="33"/>
      <c r="F210" s="39"/>
    </row>
    <row r="211" spans="1:6" ht="15.75" hidden="1">
      <c r="A211" s="32" t="s">
        <v>62</v>
      </c>
      <c r="B211" s="31"/>
      <c r="C211" s="26"/>
      <c r="D211" s="26"/>
      <c r="E211" s="25"/>
      <c r="F211" s="26"/>
    </row>
    <row r="212" spans="1:6" ht="15.75" hidden="1">
      <c r="A212" s="17" t="s">
        <v>29</v>
      </c>
      <c r="B212" s="31">
        <v>2366</v>
      </c>
      <c r="C212" s="26">
        <v>117</v>
      </c>
      <c r="D212" s="26">
        <v>2679</v>
      </c>
      <c r="E212" s="25"/>
      <c r="F212" s="26">
        <v>395</v>
      </c>
    </row>
    <row r="213" spans="1:6" ht="15.75" hidden="1">
      <c r="A213" s="17" t="s">
        <v>30</v>
      </c>
      <c r="B213" s="31">
        <v>2126</v>
      </c>
      <c r="C213" s="26">
        <v>36</v>
      </c>
      <c r="D213" s="26">
        <v>2416</v>
      </c>
      <c r="E213" s="25"/>
      <c r="F213" s="26">
        <v>658</v>
      </c>
    </row>
    <row r="214" spans="1:6" ht="15.75" hidden="1">
      <c r="A214" s="17" t="s">
        <v>31</v>
      </c>
      <c r="B214" s="31">
        <v>2355</v>
      </c>
      <c r="C214" s="26">
        <v>64</v>
      </c>
      <c r="D214" s="26">
        <v>2800</v>
      </c>
      <c r="E214" s="25"/>
      <c r="F214" s="26">
        <v>600</v>
      </c>
    </row>
    <row r="215" spans="1:6" ht="15.75" hidden="1">
      <c r="A215" s="17" t="s">
        <v>19</v>
      </c>
      <c r="B215" s="31">
        <v>2521</v>
      </c>
      <c r="C215" s="26">
        <v>95</v>
      </c>
      <c r="D215" s="26">
        <v>2723</v>
      </c>
      <c r="E215" s="25"/>
      <c r="F215" s="26">
        <v>995</v>
      </c>
    </row>
    <row r="216" spans="1:6" ht="15.75" hidden="1">
      <c r="A216" s="17" t="s">
        <v>20</v>
      </c>
      <c r="B216" s="31">
        <v>2286</v>
      </c>
      <c r="C216" s="26">
        <v>131</v>
      </c>
      <c r="D216" s="26">
        <v>2769</v>
      </c>
      <c r="E216" s="25"/>
      <c r="F216" s="26">
        <v>806</v>
      </c>
    </row>
    <row r="217" spans="1:6" ht="15.75" hidden="1">
      <c r="A217" s="17" t="s">
        <v>21</v>
      </c>
      <c r="B217" s="31">
        <v>1763</v>
      </c>
      <c r="C217" s="26">
        <v>127</v>
      </c>
      <c r="D217" s="26">
        <v>2248</v>
      </c>
      <c r="E217" s="25"/>
      <c r="F217" s="26">
        <v>413</v>
      </c>
    </row>
    <row r="218" spans="1:6" ht="15.75" hidden="1">
      <c r="A218" s="17" t="s">
        <v>22</v>
      </c>
      <c r="B218" s="31">
        <v>2031</v>
      </c>
      <c r="C218" s="26">
        <v>180</v>
      </c>
      <c r="D218" s="26">
        <v>2812</v>
      </c>
      <c r="E218" s="25"/>
      <c r="F218" s="26">
        <v>516</v>
      </c>
    </row>
    <row r="219" spans="1:6" ht="15.75" hidden="1">
      <c r="A219" s="17" t="s">
        <v>23</v>
      </c>
      <c r="B219" s="31">
        <v>3110</v>
      </c>
      <c r="C219" s="26">
        <v>158</v>
      </c>
      <c r="D219" s="26">
        <v>3437</v>
      </c>
      <c r="E219" s="25"/>
      <c r="F219" s="26">
        <v>560</v>
      </c>
    </row>
    <row r="220" spans="1:6" ht="15.75" hidden="1">
      <c r="A220" s="17" t="s">
        <v>24</v>
      </c>
      <c r="B220" s="31">
        <v>2945</v>
      </c>
      <c r="C220" s="26">
        <v>148</v>
      </c>
      <c r="D220" s="26">
        <v>3493</v>
      </c>
      <c r="E220" s="25"/>
      <c r="F220" s="26">
        <v>627</v>
      </c>
    </row>
    <row r="221" spans="1:6" ht="15.75" hidden="1">
      <c r="A221" s="17" t="s">
        <v>57</v>
      </c>
      <c r="B221" s="31">
        <v>2967</v>
      </c>
      <c r="C221" s="26">
        <v>103</v>
      </c>
      <c r="D221" s="26">
        <v>3478</v>
      </c>
      <c r="E221" s="25"/>
      <c r="F221" s="26">
        <v>491</v>
      </c>
    </row>
    <row r="222" spans="1:6" ht="15.75" hidden="1">
      <c r="A222" s="17" t="s">
        <v>58</v>
      </c>
      <c r="B222" s="31">
        <v>2572</v>
      </c>
      <c r="C222" s="26">
        <v>140</v>
      </c>
      <c r="D222" s="26">
        <v>2876</v>
      </c>
      <c r="E222" s="25"/>
      <c r="F222" s="26">
        <v>647</v>
      </c>
    </row>
    <row r="223" spans="1:6" ht="15.75" hidden="1">
      <c r="A223" s="17" t="s">
        <v>27</v>
      </c>
      <c r="B223" s="31">
        <v>2398</v>
      </c>
      <c r="C223" s="26">
        <v>56</v>
      </c>
      <c r="D223" s="26">
        <v>2481</v>
      </c>
      <c r="E223" s="25"/>
      <c r="F223" s="26">
        <v>627</v>
      </c>
    </row>
    <row r="224" spans="1:6" ht="15.75" hidden="1">
      <c r="A224" s="17"/>
      <c r="B224" s="31"/>
      <c r="C224" s="26"/>
      <c r="D224" s="26"/>
      <c r="E224" s="25"/>
      <c r="F224" s="26"/>
    </row>
    <row r="225" spans="1:6" ht="15.75" hidden="1">
      <c r="A225" s="29" t="s">
        <v>69</v>
      </c>
      <c r="B225" s="31"/>
      <c r="C225" s="26"/>
      <c r="D225" s="26"/>
      <c r="E225" s="25"/>
      <c r="F225" s="26"/>
    </row>
    <row r="226" spans="1:6" ht="15.75" hidden="1">
      <c r="A226" s="17" t="s">
        <v>14</v>
      </c>
      <c r="B226" s="36">
        <f>SUM(B288:B290)</f>
        <v>7569</v>
      </c>
      <c r="C226" s="36">
        <f>SUM(C288:C290)</f>
        <v>731</v>
      </c>
      <c r="D226" s="36">
        <f>SUM(D288:D290)</f>
        <v>7245</v>
      </c>
      <c r="E226" s="31">
        <f>SUM(E288:E290)</f>
        <v>0</v>
      </c>
      <c r="F226" s="36">
        <f>SUM(F288:F290)</f>
        <v>1491</v>
      </c>
    </row>
    <row r="227" spans="1:7" ht="15.75" hidden="1">
      <c r="A227" s="17" t="s">
        <v>15</v>
      </c>
      <c r="B227" s="31">
        <f>B291+B292+B293</f>
        <v>7918</v>
      </c>
      <c r="C227" s="40">
        <f>C291+C292+C293</f>
        <v>866</v>
      </c>
      <c r="D227" s="40">
        <f>D291+D292+D293</f>
        <v>7121</v>
      </c>
      <c r="E227" s="31">
        <f>E291+E292+E293</f>
        <v>0</v>
      </c>
      <c r="F227" s="36">
        <f>F291+F292+F293</f>
        <v>1293</v>
      </c>
      <c r="G227" s="5"/>
    </row>
    <row r="228" spans="1:7" ht="15.75" hidden="1">
      <c r="A228" s="17" t="s">
        <v>16</v>
      </c>
      <c r="B228" s="36">
        <f>B294+B295+B296</f>
        <v>8933</v>
      </c>
      <c r="C228" s="36">
        <f>C294+C295+C296</f>
        <v>1008</v>
      </c>
      <c r="D228" s="36">
        <f>D294+D295+D296</f>
        <v>8246</v>
      </c>
      <c r="E228" s="31">
        <f>E294+E295+E296</f>
        <v>0</v>
      </c>
      <c r="F228" s="37">
        <f>F294+F295+F296</f>
        <v>1318</v>
      </c>
      <c r="G228" s="6"/>
    </row>
    <row r="229" spans="1:7" ht="15.75" hidden="1">
      <c r="A229" s="17" t="s">
        <v>17</v>
      </c>
      <c r="B229" s="31">
        <f>B297+B298+B299</f>
        <v>8428</v>
      </c>
      <c r="C229" s="40">
        <f>C297+C298+C299</f>
        <v>809</v>
      </c>
      <c r="D229" s="40">
        <f>D297+D298+D299</f>
        <v>8389</v>
      </c>
      <c r="E229" s="31">
        <f>E297+E298+E299</f>
        <v>0</v>
      </c>
      <c r="F229" s="36">
        <f>F297+F298+F299</f>
        <v>1510</v>
      </c>
      <c r="G229" s="5"/>
    </row>
    <row r="230" spans="1:7" ht="15.75" hidden="1">
      <c r="A230" s="17"/>
      <c r="B230" s="41"/>
      <c r="C230" s="41"/>
      <c r="D230" s="41"/>
      <c r="E230" s="42"/>
      <c r="F230" s="43"/>
      <c r="G230" s="6"/>
    </row>
    <row r="231" spans="1:7" ht="15.75" hidden="1">
      <c r="A231" s="29" t="s">
        <v>70</v>
      </c>
      <c r="B231" s="31"/>
      <c r="C231" s="40"/>
      <c r="D231" s="40"/>
      <c r="E231" s="31"/>
      <c r="F231" s="36"/>
      <c r="G231" s="6"/>
    </row>
    <row r="232" spans="1:6" ht="15.75" hidden="1">
      <c r="A232" s="17" t="s">
        <v>14</v>
      </c>
      <c r="B232" s="36">
        <f>SUM(B302:B304)</f>
        <v>7275</v>
      </c>
      <c r="C232" s="36">
        <f>SUM(C302:C304)</f>
        <v>641</v>
      </c>
      <c r="D232" s="36">
        <f>SUM(D302:D304)</f>
        <v>8067</v>
      </c>
      <c r="E232" s="31">
        <f>SUM(E302:E304)</f>
        <v>0</v>
      </c>
      <c r="F232" s="37">
        <f>SUM(F302:F304)</f>
        <v>1343</v>
      </c>
    </row>
    <row r="233" spans="1:6" ht="15.75" hidden="1">
      <c r="A233" s="17" t="s">
        <v>15</v>
      </c>
      <c r="B233" s="36">
        <f>SUM(B305:B307)</f>
        <v>9086</v>
      </c>
      <c r="C233" s="36">
        <f>SUM(C305:C307)</f>
        <v>847</v>
      </c>
      <c r="D233" s="36">
        <f>SUM(D305:D307)</f>
        <v>8459</v>
      </c>
      <c r="E233" s="31">
        <f>SUM(E305:E307)</f>
        <v>0</v>
      </c>
      <c r="F233" s="37">
        <f>SUM(F305:F307)</f>
        <v>1513</v>
      </c>
    </row>
    <row r="234" spans="1:6" ht="15.75" hidden="1">
      <c r="A234" s="17" t="s">
        <v>16</v>
      </c>
      <c r="B234" s="36">
        <f>SUM(B308:B310)</f>
        <v>9471</v>
      </c>
      <c r="C234" s="36">
        <f>SUM(C308:C310)</f>
        <v>872</v>
      </c>
      <c r="D234" s="36">
        <f>SUM(D308:D310)</f>
        <v>9326</v>
      </c>
      <c r="E234" s="31">
        <f>SUM(E308:E310)</f>
        <v>0</v>
      </c>
      <c r="F234" s="37">
        <f>SUM(F308:F310)</f>
        <v>1371</v>
      </c>
    </row>
    <row r="235" spans="1:6" ht="15.75" hidden="1">
      <c r="A235" s="17" t="s">
        <v>17</v>
      </c>
      <c r="B235" s="36">
        <f>SUM(B311:B313)</f>
        <v>10729</v>
      </c>
      <c r="C235" s="36">
        <f>SUM(C311:C313)</f>
        <v>999</v>
      </c>
      <c r="D235" s="36">
        <f>SUM(D311:D313)</f>
        <v>9575</v>
      </c>
      <c r="E235" s="31">
        <f>SUM(E311:E313)</f>
        <v>0</v>
      </c>
      <c r="F235" s="37">
        <f>SUM(F311:F313)</f>
        <v>1179</v>
      </c>
    </row>
    <row r="236" spans="1:6" ht="15.75" hidden="1">
      <c r="A236" s="17"/>
      <c r="B236" s="31"/>
      <c r="C236" s="40"/>
      <c r="D236" s="36"/>
      <c r="E236" s="31"/>
      <c r="F236" s="37"/>
    </row>
    <row r="237" spans="1:7" ht="15.75" hidden="1">
      <c r="A237" s="29" t="s">
        <v>71</v>
      </c>
      <c r="B237" s="31"/>
      <c r="C237" s="40"/>
      <c r="D237" s="40"/>
      <c r="E237" s="31"/>
      <c r="F237" s="36"/>
      <c r="G237" s="6"/>
    </row>
    <row r="238" spans="1:6" ht="15.75" hidden="1">
      <c r="A238" s="17" t="s">
        <v>14</v>
      </c>
      <c r="B238" s="36">
        <f>SUM(B316:B318)</f>
        <v>10401</v>
      </c>
      <c r="C238" s="36">
        <f>SUM(C316:C318)</f>
        <v>632</v>
      </c>
      <c r="D238" s="36">
        <f>SUM(D316:D318)</f>
        <v>8778</v>
      </c>
      <c r="E238" s="36">
        <f>SUM(E316:E318)</f>
        <v>0</v>
      </c>
      <c r="F238" s="36">
        <f>SUM(F316:F318)</f>
        <v>1225</v>
      </c>
    </row>
    <row r="239" spans="1:6" ht="15.75" hidden="1">
      <c r="A239" s="17" t="s">
        <v>15</v>
      </c>
      <c r="B239" s="36">
        <f>SUM(B319:B321)</f>
        <v>11948</v>
      </c>
      <c r="C239" s="36">
        <f>SUM(C319:C321)</f>
        <v>590</v>
      </c>
      <c r="D239" s="36">
        <f>SUM(D319:D321)</f>
        <v>9393</v>
      </c>
      <c r="E239" s="31">
        <f>SUM(E319:E321)</f>
        <v>0</v>
      </c>
      <c r="F239" s="37">
        <f>SUM(F319:F321)</f>
        <v>1136</v>
      </c>
    </row>
    <row r="240" spans="1:6" ht="15.75" hidden="1">
      <c r="A240" s="17" t="s">
        <v>16</v>
      </c>
      <c r="B240" s="36">
        <f>SUM(B322:B324)</f>
        <v>12576</v>
      </c>
      <c r="C240" s="36">
        <f>SUM(C322:C324)</f>
        <v>878</v>
      </c>
      <c r="D240" s="36">
        <f>SUM(D322:D324)</f>
        <v>10247</v>
      </c>
      <c r="E240" s="31">
        <f>SUM(E322:E324)</f>
        <v>0</v>
      </c>
      <c r="F240" s="37">
        <f>SUM(F322:F324)</f>
        <v>1215</v>
      </c>
    </row>
    <row r="241" spans="1:6" ht="15.75" hidden="1">
      <c r="A241" s="17" t="s">
        <v>17</v>
      </c>
      <c r="B241" s="36">
        <f>SUM(B325:B327)</f>
        <v>8691</v>
      </c>
      <c r="C241" s="36">
        <f>SUM(C325:C327)</f>
        <v>834</v>
      </c>
      <c r="D241" s="36">
        <f>SUM(D325:D327)</f>
        <v>7582</v>
      </c>
      <c r="E241" s="31">
        <f>SUM(E325:E327)</f>
        <v>0</v>
      </c>
      <c r="F241" s="37">
        <f>SUM(F325:F327)</f>
        <v>1246</v>
      </c>
    </row>
    <row r="242" spans="1:6" ht="15.75" hidden="1">
      <c r="A242" s="17"/>
      <c r="B242" s="31"/>
      <c r="C242" s="36"/>
      <c r="D242" s="36"/>
      <c r="E242" s="31"/>
      <c r="F242" s="37"/>
    </row>
    <row r="243" spans="1:6" ht="15.75" hidden="1">
      <c r="A243" s="29" t="s">
        <v>72</v>
      </c>
      <c r="B243" s="31"/>
      <c r="C243" s="36"/>
      <c r="D243" s="36"/>
      <c r="E243" s="31"/>
      <c r="F243" s="37"/>
    </row>
    <row r="244" spans="1:6" ht="15.75" hidden="1">
      <c r="A244" s="53" t="s">
        <v>14</v>
      </c>
      <c r="B244" s="36">
        <f>SUM(B330:B332)</f>
        <v>7349</v>
      </c>
      <c r="C244" s="36">
        <f>SUM(C330:C332)</f>
        <v>853</v>
      </c>
      <c r="D244" s="36">
        <f>SUM(D330:D332)</f>
        <v>7714</v>
      </c>
      <c r="E244" s="36">
        <f>SUM(E330:E332)</f>
        <v>0</v>
      </c>
      <c r="F244" s="36">
        <f>SUM(F330:F332)</f>
        <v>1180</v>
      </c>
    </row>
    <row r="245" spans="1:6" ht="15.75" hidden="1">
      <c r="A245" s="53" t="s">
        <v>15</v>
      </c>
      <c r="B245" s="36">
        <f>SUM(B333:B335)</f>
        <v>8987</v>
      </c>
      <c r="C245" s="36">
        <f>SUM(C333:C335)</f>
        <v>769</v>
      </c>
      <c r="D245" s="36">
        <f>SUM(D333:D335)</f>
        <v>7704</v>
      </c>
      <c r="E245" s="36">
        <f>SUM(E333:E335)</f>
        <v>0</v>
      </c>
      <c r="F245" s="36">
        <f>SUM(F333:F335)</f>
        <v>1537</v>
      </c>
    </row>
    <row r="246" spans="1:6" ht="15.75" hidden="1">
      <c r="A246" s="53" t="s">
        <v>16</v>
      </c>
      <c r="B246" s="36">
        <f>SUM(B336:B338)</f>
        <v>13031</v>
      </c>
      <c r="C246" s="36">
        <f>SUM(C336:C338)</f>
        <v>968</v>
      </c>
      <c r="D246" s="36">
        <f>SUM(D336:D338)</f>
        <v>10091</v>
      </c>
      <c r="E246" s="36">
        <f>SUM(E336:E338)</f>
        <v>0</v>
      </c>
      <c r="F246" s="36">
        <f>SUM(F336:F338)</f>
        <v>1259</v>
      </c>
    </row>
    <row r="247" spans="1:6" ht="15.75" hidden="1">
      <c r="A247" s="53" t="s">
        <v>17</v>
      </c>
      <c r="B247" s="36">
        <f>B339+B340+B341</f>
        <v>9488</v>
      </c>
      <c r="C247" s="36">
        <f>C339+C340+C341</f>
        <v>1054</v>
      </c>
      <c r="D247" s="36">
        <f>D339+D340+D341</f>
        <v>6246</v>
      </c>
      <c r="E247" s="31">
        <f>E339+E340+E341</f>
        <v>0</v>
      </c>
      <c r="F247" s="37">
        <f>F339+F340+F341</f>
        <v>1315</v>
      </c>
    </row>
    <row r="248" spans="1:6" ht="15.75" hidden="1">
      <c r="A248" s="17"/>
      <c r="B248" s="31"/>
      <c r="C248" s="36"/>
      <c r="D248" s="36"/>
      <c r="E248" s="31"/>
      <c r="F248" s="37"/>
    </row>
    <row r="249" spans="1:6" ht="15.75">
      <c r="A249" s="29" t="s">
        <v>76</v>
      </c>
      <c r="B249" s="31"/>
      <c r="C249" s="36"/>
      <c r="D249" s="36"/>
      <c r="E249" s="31"/>
      <c r="F249" s="37"/>
    </row>
    <row r="250" spans="1:6" ht="15.75" hidden="1">
      <c r="A250" s="53" t="s">
        <v>14</v>
      </c>
      <c r="B250" s="36">
        <f>B344+B345+B346</f>
        <v>8951</v>
      </c>
      <c r="C250" s="36">
        <f>C344+C345+C346</f>
        <v>765</v>
      </c>
      <c r="D250" s="36">
        <f>D344+D345+D346</f>
        <v>6733</v>
      </c>
      <c r="E250" s="31">
        <f>E344+E345+E346</f>
        <v>0</v>
      </c>
      <c r="F250" s="37">
        <f>F344+F345+F346</f>
        <v>875</v>
      </c>
    </row>
    <row r="251" spans="1:6" ht="15.75" hidden="1">
      <c r="A251" s="53" t="s">
        <v>15</v>
      </c>
      <c r="B251" s="36">
        <f>SUM(B347:B349)</f>
        <v>9175</v>
      </c>
      <c r="C251" s="36">
        <f>SUM(C347:C349)</f>
        <v>438.58</v>
      </c>
      <c r="D251" s="36">
        <f>SUM(D347:D349)</f>
        <v>8303</v>
      </c>
      <c r="E251" s="36">
        <f>SUM(E347:E349)</f>
        <v>0</v>
      </c>
      <c r="F251" s="36">
        <f>SUM(F347:F349)</f>
        <v>1464.25</v>
      </c>
    </row>
    <row r="252" spans="1:6" ht="15.75" hidden="1">
      <c r="A252" s="53" t="s">
        <v>16</v>
      </c>
      <c r="B252" s="36">
        <f>B350+B351+B352</f>
        <v>9512</v>
      </c>
      <c r="C252" s="36">
        <f>C350+C351+C352</f>
        <v>262.5</v>
      </c>
      <c r="D252" s="36">
        <f>D350+D351+D352</f>
        <v>8006.2</v>
      </c>
      <c r="E252" s="36">
        <f>E350+E351+E352</f>
        <v>0</v>
      </c>
      <c r="F252" s="36">
        <f>F350+F351+F352</f>
        <v>1883</v>
      </c>
    </row>
    <row r="253" spans="1:6" ht="15.75">
      <c r="A253" s="53" t="s">
        <v>17</v>
      </c>
      <c r="B253" s="36">
        <f>B353+B354+B355</f>
        <v>9675</v>
      </c>
      <c r="C253" s="36">
        <f>C353+C354+C355</f>
        <v>100.80000000000001</v>
      </c>
      <c r="D253" s="36">
        <f>D353+D354+D355</f>
        <v>7803</v>
      </c>
      <c r="E253" s="36">
        <f>E353+E354+E355</f>
        <v>0</v>
      </c>
      <c r="F253" s="36">
        <f>F353+F354+F355</f>
        <v>1024</v>
      </c>
    </row>
    <row r="254" spans="1:6" ht="15.75">
      <c r="A254" s="17"/>
      <c r="B254" s="31"/>
      <c r="C254" s="36"/>
      <c r="D254" s="36"/>
      <c r="E254" s="31"/>
      <c r="F254" s="36"/>
    </row>
    <row r="255" spans="1:6" ht="15.75">
      <c r="A255" s="29" t="s">
        <v>77</v>
      </c>
      <c r="B255" s="31"/>
      <c r="C255" s="36"/>
      <c r="D255" s="36"/>
      <c r="E255" s="31"/>
      <c r="F255" s="36"/>
    </row>
    <row r="256" spans="1:6" ht="15.75">
      <c r="A256" s="53" t="s">
        <v>14</v>
      </c>
      <c r="B256" s="36">
        <f>B358+B359+B360</f>
        <v>7878</v>
      </c>
      <c r="C256" s="36">
        <f>C358+C359+C360</f>
        <v>90</v>
      </c>
      <c r="D256" s="36">
        <f>D358+D359+D360</f>
        <v>6588</v>
      </c>
      <c r="E256" s="36">
        <f>E358+E359+E360</f>
        <v>0</v>
      </c>
      <c r="F256" s="36">
        <f>F358+F359+F360</f>
        <v>1256</v>
      </c>
    </row>
    <row r="257" spans="1:6" ht="15.75">
      <c r="A257" s="53" t="s">
        <v>15</v>
      </c>
      <c r="B257" s="36">
        <f>SUM(B361:B363)</f>
        <v>6305</v>
      </c>
      <c r="C257" s="36">
        <f>SUM(C361:C363)</f>
        <v>74</v>
      </c>
      <c r="D257" s="36">
        <f>SUM(D361:D363)</f>
        <v>5043</v>
      </c>
      <c r="E257" s="36">
        <f>SUM(E361:E363)</f>
        <v>0</v>
      </c>
      <c r="F257" s="36">
        <f>SUM(F361:F363)</f>
        <v>1034</v>
      </c>
    </row>
    <row r="258" spans="1:6" ht="15.75">
      <c r="A258" s="53" t="s">
        <v>16</v>
      </c>
      <c r="B258" s="36">
        <f>B364+B365+B366</f>
        <v>8073</v>
      </c>
      <c r="C258" s="36">
        <f>C364+C365+C366</f>
        <v>154</v>
      </c>
      <c r="D258" s="36">
        <f>D364+D365+D366</f>
        <v>5504</v>
      </c>
      <c r="E258" s="36">
        <f>E364+E365+E366</f>
        <v>0</v>
      </c>
      <c r="F258" s="36">
        <f>F364+F365+F366</f>
        <v>666</v>
      </c>
    </row>
    <row r="259" spans="1:6" ht="15.75">
      <c r="A259" s="53" t="s">
        <v>17</v>
      </c>
      <c r="B259" s="36">
        <f>B367+B368+B369</f>
        <v>9281</v>
      </c>
      <c r="C259" s="36">
        <f>C367+C368+C369</f>
        <v>192</v>
      </c>
      <c r="D259" s="36">
        <f>D367+D368+D369</f>
        <v>5987</v>
      </c>
      <c r="E259" s="36">
        <f>E367+E368+E369</f>
        <v>0</v>
      </c>
      <c r="F259" s="36">
        <f>F367+F368+F369</f>
        <v>532</v>
      </c>
    </row>
    <row r="260" spans="1:6" ht="15.75">
      <c r="A260" s="17"/>
      <c r="B260" s="31"/>
      <c r="C260" s="36"/>
      <c r="D260" s="36"/>
      <c r="E260" s="31"/>
      <c r="F260" s="36"/>
    </row>
    <row r="261" spans="1:6" ht="15.75">
      <c r="A261" s="29" t="s">
        <v>78</v>
      </c>
      <c r="B261" s="31"/>
      <c r="C261" s="36"/>
      <c r="D261" s="36"/>
      <c r="E261" s="31"/>
      <c r="F261" s="36"/>
    </row>
    <row r="262" spans="1:6" ht="15.75">
      <c r="A262" s="53" t="s">
        <v>14</v>
      </c>
      <c r="B262" s="36">
        <f>B372+B373+B374</f>
        <v>6893</v>
      </c>
      <c r="C262" s="36">
        <f>C372+C373+C374</f>
        <v>78</v>
      </c>
      <c r="D262" s="36">
        <f>D372+D373+D374</f>
        <v>5020</v>
      </c>
      <c r="E262" s="36">
        <f>E372+E373+E374</f>
        <v>0</v>
      </c>
      <c r="F262" s="36">
        <f>F372+F373+F374</f>
        <v>558</v>
      </c>
    </row>
    <row r="263" spans="1:6" ht="15.75">
      <c r="A263" s="53" t="s">
        <v>15</v>
      </c>
      <c r="B263" s="36">
        <f>B375+B376+B377</f>
        <v>2661</v>
      </c>
      <c r="C263" s="36">
        <f>C375+C376+C377</f>
        <v>121</v>
      </c>
      <c r="D263" s="36">
        <f>D375+D376+D377</f>
        <v>2498</v>
      </c>
      <c r="E263" s="36">
        <f>E375+E376+E377</f>
        <v>0</v>
      </c>
      <c r="F263" s="36">
        <f>F375+F376+F377</f>
        <v>600</v>
      </c>
    </row>
    <row r="264" spans="1:6" ht="15.75">
      <c r="A264" s="53" t="s">
        <v>16</v>
      </c>
      <c r="B264" s="36">
        <f>B378+B379+B380</f>
        <v>6579</v>
      </c>
      <c r="C264" s="36">
        <f>C378+C379+C380</f>
        <v>59</v>
      </c>
      <c r="D264" s="36">
        <f>D378+D379+D380</f>
        <v>5740</v>
      </c>
      <c r="E264" s="36">
        <f>E378+E379+E380</f>
        <v>0</v>
      </c>
      <c r="F264" s="36">
        <f>F378+F379+F380</f>
        <v>509</v>
      </c>
    </row>
    <row r="265" spans="1:6" ht="15.75">
      <c r="A265" s="53" t="s">
        <v>17</v>
      </c>
      <c r="B265" s="36">
        <f>B381+B382+B383</f>
        <v>7209</v>
      </c>
      <c r="C265" s="36">
        <f>C381+C382+C383</f>
        <v>78</v>
      </c>
      <c r="D265" s="36">
        <f>D381+D382+D383</f>
        <v>6225</v>
      </c>
      <c r="E265" s="36">
        <f>E381+E382+E383</f>
        <v>0</v>
      </c>
      <c r="F265" s="36">
        <f>F381+F382+F383</f>
        <v>299</v>
      </c>
    </row>
    <row r="266" spans="1:6" ht="15.75">
      <c r="A266" s="53"/>
      <c r="B266" s="31"/>
      <c r="C266" s="36"/>
      <c r="D266" s="36"/>
      <c r="E266" s="31"/>
      <c r="F266" s="36"/>
    </row>
    <row r="267" spans="1:6" ht="15.75">
      <c r="A267" s="29" t="s">
        <v>79</v>
      </c>
      <c r="B267" s="31"/>
      <c r="C267" s="36"/>
      <c r="D267" s="36"/>
      <c r="E267" s="31"/>
      <c r="F267" s="36"/>
    </row>
    <row r="268" spans="1:6" ht="15.75">
      <c r="A268" s="53" t="s">
        <v>14</v>
      </c>
      <c r="B268" s="36">
        <f>B386+B387+B388</f>
        <v>7591</v>
      </c>
      <c r="C268" s="36">
        <f>C386+C387+C388</f>
        <v>73</v>
      </c>
      <c r="D268" s="36">
        <f>D386+D387+D388</f>
        <v>6078</v>
      </c>
      <c r="E268" s="36">
        <f>E386+E387+E388</f>
        <v>0</v>
      </c>
      <c r="F268" s="36">
        <f>F386+F387+F388</f>
        <v>454</v>
      </c>
    </row>
    <row r="269" spans="1:6" ht="15.75">
      <c r="A269" s="53" t="s">
        <v>15</v>
      </c>
      <c r="B269" s="36">
        <f>B389+B390+B391</f>
        <v>9745</v>
      </c>
      <c r="C269" s="36">
        <f>C389+C390+C391</f>
        <v>86</v>
      </c>
      <c r="D269" s="36">
        <f>D389+D390+D391</f>
        <v>10207</v>
      </c>
      <c r="E269" s="36">
        <f>E389+E390+E391</f>
        <v>0</v>
      </c>
      <c r="F269" s="36">
        <f>F389+F390+F391</f>
        <v>597</v>
      </c>
    </row>
    <row r="270" spans="1:6" ht="15.75">
      <c r="A270" s="53" t="s">
        <v>16</v>
      </c>
      <c r="B270" s="36">
        <f>B392+B393+B394</f>
        <v>8553</v>
      </c>
      <c r="C270" s="37">
        <f>C392+C393+C394</f>
        <v>124</v>
      </c>
      <c r="D270" s="36">
        <f>D392+D393+D394</f>
        <v>12364</v>
      </c>
      <c r="E270" s="31">
        <f>E392+E393+E394</f>
        <v>0</v>
      </c>
      <c r="F270" s="37">
        <f>F392+F393+F394</f>
        <v>1186</v>
      </c>
    </row>
    <row r="271" spans="1:6" ht="15.75">
      <c r="A271" s="53" t="s">
        <v>17</v>
      </c>
      <c r="B271" s="36">
        <f>B395+B396+B397</f>
        <v>11191</v>
      </c>
      <c r="C271" s="36">
        <f>C395+C396+C397</f>
        <v>68</v>
      </c>
      <c r="D271" s="36">
        <f>D395+D396+D397</f>
        <v>18532</v>
      </c>
      <c r="E271" s="36">
        <f>E395+E396+E397</f>
        <v>0</v>
      </c>
      <c r="F271" s="36">
        <f>F395+F396+F397</f>
        <v>1415</v>
      </c>
    </row>
    <row r="272" spans="1:6" ht="15.75">
      <c r="A272" s="53"/>
      <c r="B272" s="33"/>
      <c r="C272" s="34"/>
      <c r="D272" s="34"/>
      <c r="E272" s="35"/>
      <c r="F272" s="34"/>
    </row>
    <row r="273" spans="1:6" ht="15.75" hidden="1">
      <c r="A273" s="32" t="s">
        <v>66</v>
      </c>
      <c r="B273" s="31"/>
      <c r="C273" s="26"/>
      <c r="D273" s="26"/>
      <c r="E273" s="25"/>
      <c r="F273" s="26"/>
    </row>
    <row r="274" spans="1:6" ht="15.75" hidden="1">
      <c r="A274" s="17" t="s">
        <v>29</v>
      </c>
      <c r="B274" s="31">
        <v>2199</v>
      </c>
      <c r="C274" s="26">
        <v>69</v>
      </c>
      <c r="D274" s="26">
        <v>2525</v>
      </c>
      <c r="E274" s="25"/>
      <c r="F274" s="26">
        <v>266</v>
      </c>
    </row>
    <row r="275" spans="1:6" ht="15.75" hidden="1">
      <c r="A275" s="17" t="s">
        <v>30</v>
      </c>
      <c r="B275" s="31">
        <v>2105</v>
      </c>
      <c r="C275" s="26">
        <v>22</v>
      </c>
      <c r="D275" s="26">
        <v>1951</v>
      </c>
      <c r="E275" s="25"/>
      <c r="F275" s="26">
        <v>495</v>
      </c>
    </row>
    <row r="276" spans="1:6" ht="15.75" hidden="1">
      <c r="A276" s="17" t="s">
        <v>31</v>
      </c>
      <c r="B276" s="31">
        <v>2328</v>
      </c>
      <c r="C276" s="26">
        <v>100</v>
      </c>
      <c r="D276" s="26">
        <v>2630</v>
      </c>
      <c r="E276" s="25"/>
      <c r="F276" s="26">
        <v>828</v>
      </c>
    </row>
    <row r="277" spans="1:6" ht="15.75" hidden="1">
      <c r="A277" s="17" t="s">
        <v>19</v>
      </c>
      <c r="B277" s="31">
        <v>2617</v>
      </c>
      <c r="C277" s="26">
        <v>92</v>
      </c>
      <c r="D277" s="26">
        <v>2846</v>
      </c>
      <c r="E277" s="25"/>
      <c r="F277" s="26">
        <v>588</v>
      </c>
    </row>
    <row r="278" spans="1:6" ht="15.75" hidden="1">
      <c r="A278" s="17" t="s">
        <v>20</v>
      </c>
      <c r="B278" s="31">
        <v>2306</v>
      </c>
      <c r="C278" s="26">
        <v>117</v>
      </c>
      <c r="D278" s="26">
        <v>2534</v>
      </c>
      <c r="E278" s="25"/>
      <c r="F278" s="26">
        <v>250</v>
      </c>
    </row>
    <row r="279" spans="1:6" ht="15.75" hidden="1">
      <c r="A279" s="17" t="s">
        <v>21</v>
      </c>
      <c r="B279" s="31">
        <v>2693</v>
      </c>
      <c r="C279" s="26">
        <v>130</v>
      </c>
      <c r="D279" s="26">
        <v>3041</v>
      </c>
      <c r="E279" s="25"/>
      <c r="F279" s="26">
        <v>770</v>
      </c>
    </row>
    <row r="280" spans="1:6" ht="15.75" hidden="1">
      <c r="A280" s="17" t="s">
        <v>22</v>
      </c>
      <c r="B280" s="31">
        <v>2913</v>
      </c>
      <c r="C280" s="26">
        <v>184</v>
      </c>
      <c r="D280" s="26">
        <v>2599</v>
      </c>
      <c r="E280" s="25"/>
      <c r="F280" s="26">
        <v>855</v>
      </c>
    </row>
    <row r="281" spans="1:6" ht="15.75" hidden="1">
      <c r="A281" s="17" t="s">
        <v>23</v>
      </c>
      <c r="B281" s="31">
        <v>2776</v>
      </c>
      <c r="C281" s="26">
        <v>146</v>
      </c>
      <c r="D281" s="26">
        <v>2869</v>
      </c>
      <c r="E281" s="25"/>
      <c r="F281" s="26">
        <v>755</v>
      </c>
    </row>
    <row r="282" spans="1:6" ht="15.75" hidden="1">
      <c r="A282" s="17" t="s">
        <v>24</v>
      </c>
      <c r="B282" s="31">
        <v>2817</v>
      </c>
      <c r="C282" s="26">
        <v>91</v>
      </c>
      <c r="D282" s="26">
        <v>2772</v>
      </c>
      <c r="E282" s="25"/>
      <c r="F282" s="26">
        <v>586</v>
      </c>
    </row>
    <row r="283" spans="1:6" ht="15.75" hidden="1">
      <c r="A283" s="17" t="s">
        <v>57</v>
      </c>
      <c r="B283" s="31">
        <v>2670</v>
      </c>
      <c r="C283" s="26">
        <v>328</v>
      </c>
      <c r="D283" s="26">
        <v>2706</v>
      </c>
      <c r="E283" s="25"/>
      <c r="F283" s="26">
        <v>847</v>
      </c>
    </row>
    <row r="284" spans="1:6" ht="15.75" hidden="1">
      <c r="A284" s="17" t="s">
        <v>58</v>
      </c>
      <c r="B284" s="31">
        <v>2330</v>
      </c>
      <c r="C284" s="26">
        <v>246</v>
      </c>
      <c r="D284" s="26">
        <v>2987</v>
      </c>
      <c r="E284" s="25"/>
      <c r="F284" s="26">
        <v>597</v>
      </c>
    </row>
    <row r="285" spans="1:7" ht="15.75" hidden="1">
      <c r="A285" s="17" t="s">
        <v>27</v>
      </c>
      <c r="B285" s="31">
        <v>2982</v>
      </c>
      <c r="C285" s="26">
        <v>185</v>
      </c>
      <c r="D285" s="26">
        <v>2802</v>
      </c>
      <c r="E285" s="25"/>
      <c r="F285" s="26">
        <v>419</v>
      </c>
      <c r="G285" s="5"/>
    </row>
    <row r="286" spans="1:7" ht="15.75" hidden="1">
      <c r="A286" s="17"/>
      <c r="B286" s="31"/>
      <c r="C286" s="26"/>
      <c r="D286" s="26"/>
      <c r="E286" s="25"/>
      <c r="F286" s="26"/>
      <c r="G286" s="5"/>
    </row>
    <row r="287" spans="1:7" ht="15.75" hidden="1">
      <c r="A287" s="29" t="s">
        <v>69</v>
      </c>
      <c r="B287" s="31"/>
      <c r="C287" s="26"/>
      <c r="D287" s="26"/>
      <c r="E287" s="25"/>
      <c r="F287" s="26"/>
      <c r="G287" s="5"/>
    </row>
    <row r="288" spans="1:7" ht="15.75" hidden="1">
      <c r="A288" s="17" t="s">
        <v>29</v>
      </c>
      <c r="B288" s="31">
        <v>2430</v>
      </c>
      <c r="C288" s="26">
        <v>239</v>
      </c>
      <c r="D288" s="26">
        <v>2321</v>
      </c>
      <c r="E288" s="25"/>
      <c r="F288" s="26">
        <v>596</v>
      </c>
      <c r="G288" s="5"/>
    </row>
    <row r="289" spans="1:7" ht="15.75" hidden="1">
      <c r="A289" s="17" t="s">
        <v>30</v>
      </c>
      <c r="B289" s="31">
        <v>2321</v>
      </c>
      <c r="C289" s="26">
        <v>243</v>
      </c>
      <c r="D289" s="26">
        <v>2325</v>
      </c>
      <c r="E289" s="25"/>
      <c r="F289" s="26">
        <v>443</v>
      </c>
      <c r="G289" s="5"/>
    </row>
    <row r="290" spans="1:7" ht="15.75" hidden="1">
      <c r="A290" s="17" t="s">
        <v>31</v>
      </c>
      <c r="B290" s="31">
        <v>2818</v>
      </c>
      <c r="C290" s="26">
        <v>249</v>
      </c>
      <c r="D290" s="26">
        <v>2599</v>
      </c>
      <c r="E290" s="25"/>
      <c r="F290" s="26">
        <v>452</v>
      </c>
      <c r="G290" s="5"/>
    </row>
    <row r="291" spans="1:7" ht="15.75" hidden="1">
      <c r="A291" s="17" t="s">
        <v>19</v>
      </c>
      <c r="B291" s="31">
        <v>2746</v>
      </c>
      <c r="C291" s="26">
        <v>229</v>
      </c>
      <c r="D291" s="26">
        <v>2731</v>
      </c>
      <c r="E291" s="25"/>
      <c r="F291" s="26">
        <v>426</v>
      </c>
      <c r="G291" s="5"/>
    </row>
    <row r="292" spans="1:7" ht="15.75" hidden="1">
      <c r="A292" s="17" t="s">
        <v>20</v>
      </c>
      <c r="B292" s="31">
        <f>2275+11</f>
        <v>2286</v>
      </c>
      <c r="C292" s="26">
        <v>183</v>
      </c>
      <c r="D292" s="26">
        <v>1931</v>
      </c>
      <c r="E292" s="25"/>
      <c r="F292" s="26">
        <f>565+1</f>
        <v>566</v>
      </c>
      <c r="G292" s="5"/>
    </row>
    <row r="293" spans="1:7" ht="15.75" hidden="1">
      <c r="A293" s="17" t="s">
        <v>21</v>
      </c>
      <c r="B293" s="31">
        <f>2870+16</f>
        <v>2886</v>
      </c>
      <c r="C293" s="26">
        <v>454</v>
      </c>
      <c r="D293" s="26">
        <v>2459</v>
      </c>
      <c r="E293" s="25"/>
      <c r="F293" s="26">
        <v>301</v>
      </c>
      <c r="G293" s="5"/>
    </row>
    <row r="294" spans="1:7" ht="15.75" hidden="1">
      <c r="A294" s="17" t="s">
        <v>22</v>
      </c>
      <c r="B294" s="31">
        <f>2815+18</f>
        <v>2833</v>
      </c>
      <c r="C294" s="26">
        <v>231</v>
      </c>
      <c r="D294" s="26">
        <v>2704</v>
      </c>
      <c r="E294" s="25"/>
      <c r="F294" s="26">
        <v>517</v>
      </c>
      <c r="G294" s="5"/>
    </row>
    <row r="295" spans="1:7" ht="15.75" hidden="1">
      <c r="A295" s="17" t="s">
        <v>23</v>
      </c>
      <c r="B295" s="31">
        <f>2934+15</f>
        <v>2949</v>
      </c>
      <c r="C295" s="40">
        <v>452</v>
      </c>
      <c r="D295" s="40">
        <v>2985</v>
      </c>
      <c r="E295" s="31"/>
      <c r="F295" s="36">
        <v>535</v>
      </c>
      <c r="G295" s="5"/>
    </row>
    <row r="296" spans="1:7" ht="15.75" hidden="1">
      <c r="A296" s="17" t="s">
        <v>24</v>
      </c>
      <c r="B296" s="31">
        <f>3149+2</f>
        <v>3151</v>
      </c>
      <c r="C296" s="40">
        <f>323+2</f>
        <v>325</v>
      </c>
      <c r="D296" s="40">
        <v>2557</v>
      </c>
      <c r="E296" s="31"/>
      <c r="F296" s="36">
        <f>264+2</f>
        <v>266</v>
      </c>
      <c r="G296" s="5"/>
    </row>
    <row r="297" spans="1:7" ht="15.75" hidden="1">
      <c r="A297" s="17" t="s">
        <v>57</v>
      </c>
      <c r="B297" s="31">
        <f>2329+6</f>
        <v>2335</v>
      </c>
      <c r="C297" s="40">
        <f>261+1</f>
        <v>262</v>
      </c>
      <c r="D297" s="40">
        <v>2303</v>
      </c>
      <c r="E297" s="31"/>
      <c r="F297" s="36">
        <f>410+1</f>
        <v>411</v>
      </c>
      <c r="G297" s="5"/>
    </row>
    <row r="298" spans="1:7" ht="15.75" hidden="1">
      <c r="A298" s="17" t="s">
        <v>58</v>
      </c>
      <c r="B298" s="31">
        <f>2641+21</f>
        <v>2662</v>
      </c>
      <c r="C298" s="40">
        <f>258+5</f>
        <v>263</v>
      </c>
      <c r="D298" s="40">
        <f>2453+39</f>
        <v>2492</v>
      </c>
      <c r="E298" s="31"/>
      <c r="F298" s="36">
        <f>603+3</f>
        <v>606</v>
      </c>
      <c r="G298" s="5"/>
    </row>
    <row r="299" spans="1:7" ht="15.75" hidden="1">
      <c r="A299" s="17" t="s">
        <v>27</v>
      </c>
      <c r="B299" s="31">
        <f>3398+33</f>
        <v>3431</v>
      </c>
      <c r="C299" s="40">
        <f>280+4</f>
        <v>284</v>
      </c>
      <c r="D299" s="40">
        <f>3541+53</f>
        <v>3594</v>
      </c>
      <c r="E299" s="31"/>
      <c r="F299" s="36">
        <f>490+3</f>
        <v>493</v>
      </c>
      <c r="G299" s="5"/>
    </row>
    <row r="300" spans="1:7" ht="15.75" hidden="1">
      <c r="A300" s="17"/>
      <c r="B300" s="31"/>
      <c r="C300" s="40"/>
      <c r="D300" s="40"/>
      <c r="E300" s="31"/>
      <c r="F300" s="36"/>
      <c r="G300" s="5"/>
    </row>
    <row r="301" spans="1:7" ht="15.75" hidden="1">
      <c r="A301" s="29" t="s">
        <v>70</v>
      </c>
      <c r="B301" s="31"/>
      <c r="C301" s="26"/>
      <c r="D301" s="26"/>
      <c r="E301" s="25"/>
      <c r="F301" s="26"/>
      <c r="G301" s="5"/>
    </row>
    <row r="302" spans="1:7" ht="15.75" hidden="1">
      <c r="A302" s="17" t="s">
        <v>29</v>
      </c>
      <c r="B302" s="31">
        <f>2191+27</f>
        <v>2218</v>
      </c>
      <c r="C302" s="26">
        <v>245</v>
      </c>
      <c r="D302" s="26">
        <v>2493</v>
      </c>
      <c r="E302" s="25"/>
      <c r="F302" s="26">
        <v>525</v>
      </c>
      <c r="G302" s="5"/>
    </row>
    <row r="303" spans="1:7" ht="15.75" hidden="1">
      <c r="A303" s="17" t="s">
        <v>30</v>
      </c>
      <c r="B303" s="31">
        <f>2219+1</f>
        <v>2220</v>
      </c>
      <c r="C303" s="26">
        <v>186</v>
      </c>
      <c r="D303" s="26">
        <f>2651+2</f>
        <v>2653</v>
      </c>
      <c r="E303" s="25"/>
      <c r="F303" s="26">
        <v>435</v>
      </c>
      <c r="G303" s="5"/>
    </row>
    <row r="304" spans="1:7" ht="15.75" hidden="1">
      <c r="A304" s="17" t="s">
        <v>31</v>
      </c>
      <c r="B304" s="31">
        <v>2837</v>
      </c>
      <c r="C304" s="26">
        <v>210</v>
      </c>
      <c r="D304" s="26">
        <v>2921</v>
      </c>
      <c r="E304" s="25"/>
      <c r="F304" s="26">
        <f>379+4</f>
        <v>383</v>
      </c>
      <c r="G304" s="5"/>
    </row>
    <row r="305" spans="1:7" ht="15.75" hidden="1">
      <c r="A305" s="17" t="s">
        <v>19</v>
      </c>
      <c r="B305" s="31">
        <f>2970+9</f>
        <v>2979</v>
      </c>
      <c r="C305" s="26">
        <f>267+4</f>
        <v>271</v>
      </c>
      <c r="D305" s="26">
        <v>2776</v>
      </c>
      <c r="E305" s="25"/>
      <c r="F305" s="26">
        <f>444+5</f>
        <v>449</v>
      </c>
      <c r="G305" s="5"/>
    </row>
    <row r="306" spans="1:7" ht="15.75" hidden="1">
      <c r="A306" s="17" t="s">
        <v>20</v>
      </c>
      <c r="B306" s="31">
        <f>2560+26</f>
        <v>2586</v>
      </c>
      <c r="C306" s="26">
        <f>282+4</f>
        <v>286</v>
      </c>
      <c r="D306" s="26">
        <v>2756</v>
      </c>
      <c r="E306" s="25"/>
      <c r="F306" s="26">
        <f>456+8</f>
        <v>464</v>
      </c>
      <c r="G306" s="5"/>
    </row>
    <row r="307" spans="1:7" ht="15.75" hidden="1">
      <c r="A307" s="17" t="s">
        <v>21</v>
      </c>
      <c r="B307" s="31">
        <f>3491+30</f>
        <v>3521</v>
      </c>
      <c r="C307" s="26">
        <f>288+2</f>
        <v>290</v>
      </c>
      <c r="D307" s="26">
        <f>2922+5</f>
        <v>2927</v>
      </c>
      <c r="E307" s="25"/>
      <c r="F307" s="26">
        <v>600</v>
      </c>
      <c r="G307" s="5"/>
    </row>
    <row r="308" spans="1:7" ht="16.5" customHeight="1" hidden="1">
      <c r="A308" s="17" t="s">
        <v>22</v>
      </c>
      <c r="B308" s="31">
        <f>3098+8</f>
        <v>3106</v>
      </c>
      <c r="C308" s="26">
        <v>304</v>
      </c>
      <c r="D308" s="26">
        <f>2911+13</f>
        <v>2924</v>
      </c>
      <c r="E308" s="25"/>
      <c r="F308" s="26">
        <f>382+1</f>
        <v>383</v>
      </c>
      <c r="G308" s="5"/>
    </row>
    <row r="309" spans="1:7" ht="15.75" hidden="1">
      <c r="A309" s="17" t="s">
        <v>23</v>
      </c>
      <c r="B309" s="31">
        <v>2595</v>
      </c>
      <c r="C309" s="26">
        <v>294</v>
      </c>
      <c r="D309" s="26">
        <v>3122</v>
      </c>
      <c r="E309" s="25"/>
      <c r="F309" s="26">
        <v>646</v>
      </c>
      <c r="G309" s="5"/>
    </row>
    <row r="310" spans="1:7" ht="15.75" hidden="1">
      <c r="A310" s="17" t="s">
        <v>67</v>
      </c>
      <c r="B310" s="31">
        <v>3770</v>
      </c>
      <c r="C310" s="26">
        <v>274</v>
      </c>
      <c r="D310" s="26">
        <v>3280</v>
      </c>
      <c r="E310" s="25"/>
      <c r="F310" s="26">
        <v>342</v>
      </c>
      <c r="G310" s="5"/>
    </row>
    <row r="311" spans="1:7" ht="15.75" hidden="1">
      <c r="A311" s="17" t="s">
        <v>57</v>
      </c>
      <c r="B311" s="31">
        <v>3407</v>
      </c>
      <c r="C311" s="26">
        <v>274</v>
      </c>
      <c r="D311" s="26">
        <v>3260</v>
      </c>
      <c r="E311" s="25"/>
      <c r="F311" s="26">
        <v>264</v>
      </c>
      <c r="G311" s="5"/>
    </row>
    <row r="312" spans="1:7" ht="15.75" hidden="1">
      <c r="A312" s="17" t="s">
        <v>68</v>
      </c>
      <c r="B312" s="31">
        <v>3542</v>
      </c>
      <c r="C312" s="26">
        <v>361</v>
      </c>
      <c r="D312" s="26">
        <v>3161</v>
      </c>
      <c r="E312" s="25"/>
      <c r="F312" s="26">
        <v>567</v>
      </c>
      <c r="G312" s="5"/>
    </row>
    <row r="313" spans="1:7" ht="15.75" hidden="1">
      <c r="A313" s="17" t="s">
        <v>27</v>
      </c>
      <c r="B313" s="31">
        <v>3780</v>
      </c>
      <c r="C313" s="26">
        <v>364</v>
      </c>
      <c r="D313" s="26">
        <v>3154</v>
      </c>
      <c r="E313" s="25"/>
      <c r="F313" s="26">
        <v>348</v>
      </c>
      <c r="G313" s="5"/>
    </row>
    <row r="314" spans="1:7" ht="15.75" hidden="1">
      <c r="A314" s="17"/>
      <c r="B314" s="31"/>
      <c r="C314" s="26"/>
      <c r="D314" s="26"/>
      <c r="E314" s="25"/>
      <c r="F314" s="26"/>
      <c r="G314" s="5"/>
    </row>
    <row r="315" spans="1:7" ht="15.75" hidden="1">
      <c r="A315" s="29" t="s">
        <v>71</v>
      </c>
      <c r="B315" s="31"/>
      <c r="C315" s="26"/>
      <c r="D315" s="26"/>
      <c r="E315" s="25"/>
      <c r="F315" s="26"/>
      <c r="G315" s="5"/>
    </row>
    <row r="316" spans="1:7" ht="15.75" hidden="1">
      <c r="A316" s="17" t="s">
        <v>29</v>
      </c>
      <c r="B316" s="31">
        <v>3619</v>
      </c>
      <c r="C316" s="26">
        <v>341</v>
      </c>
      <c r="D316" s="26">
        <v>2939</v>
      </c>
      <c r="E316" s="25"/>
      <c r="F316" s="26">
        <f>251+55</f>
        <v>306</v>
      </c>
      <c r="G316" s="5"/>
    </row>
    <row r="317" spans="1:7" ht="15.75" hidden="1">
      <c r="A317" s="17" t="s">
        <v>30</v>
      </c>
      <c r="B317" s="31">
        <v>3312</v>
      </c>
      <c r="C317" s="26">
        <v>254</v>
      </c>
      <c r="D317" s="26">
        <v>2803</v>
      </c>
      <c r="E317" s="25"/>
      <c r="F317" s="26">
        <f>366+133</f>
        <v>499</v>
      </c>
      <c r="G317" s="5"/>
    </row>
    <row r="318" spans="1:7" ht="15.75" hidden="1">
      <c r="A318" s="17" t="s">
        <v>31</v>
      </c>
      <c r="B318" s="31">
        <f>3460+10</f>
        <v>3470</v>
      </c>
      <c r="C318" s="36">
        <v>37</v>
      </c>
      <c r="D318" s="26">
        <f>3026+10</f>
        <v>3036</v>
      </c>
      <c r="E318" s="25"/>
      <c r="F318" s="26">
        <f>419+1</f>
        <v>420</v>
      </c>
      <c r="G318" s="5"/>
    </row>
    <row r="319" spans="1:7" ht="15.75" hidden="1">
      <c r="A319" s="17" t="s">
        <v>19</v>
      </c>
      <c r="B319" s="31">
        <f>3922+12</f>
        <v>3934</v>
      </c>
      <c r="C319" s="36">
        <v>249</v>
      </c>
      <c r="D319" s="26">
        <f>3091+9</f>
        <v>3100</v>
      </c>
      <c r="E319" s="25"/>
      <c r="F319" s="26">
        <v>387</v>
      </c>
      <c r="G319" s="5"/>
    </row>
    <row r="320" spans="1:7" ht="15.75" hidden="1">
      <c r="A320" s="17" t="s">
        <v>20</v>
      </c>
      <c r="B320" s="31">
        <f>3601+22</f>
        <v>3623</v>
      </c>
      <c r="C320" s="36">
        <v>32</v>
      </c>
      <c r="D320" s="26">
        <f>3093+8</f>
        <v>3101</v>
      </c>
      <c r="E320" s="25"/>
      <c r="F320" s="26">
        <v>319</v>
      </c>
      <c r="G320" s="5"/>
    </row>
    <row r="321" spans="1:7" ht="15.75" hidden="1">
      <c r="A321" s="17" t="s">
        <v>21</v>
      </c>
      <c r="B321" s="31">
        <f>4369+22</f>
        <v>4391</v>
      </c>
      <c r="C321" s="36">
        <f>305+4</f>
        <v>309</v>
      </c>
      <c r="D321" s="26">
        <f>3188+4</f>
        <v>3192</v>
      </c>
      <c r="E321" s="25"/>
      <c r="F321" s="26">
        <f>426+4</f>
        <v>430</v>
      </c>
      <c r="G321" s="5"/>
    </row>
    <row r="322" spans="1:7" ht="15.75" hidden="1">
      <c r="A322" s="17" t="s">
        <v>22</v>
      </c>
      <c r="B322" s="31">
        <f>4159</f>
        <v>4159</v>
      </c>
      <c r="C322" s="36">
        <v>358</v>
      </c>
      <c r="D322" s="26">
        <v>3322</v>
      </c>
      <c r="E322" s="25"/>
      <c r="F322" s="26">
        <f>341+2</f>
        <v>343</v>
      </c>
      <c r="G322" s="5"/>
    </row>
    <row r="323" spans="1:7" ht="15.75" hidden="1">
      <c r="A323" s="17" t="s">
        <v>23</v>
      </c>
      <c r="B323" s="31">
        <f>4712+20</f>
        <v>4732</v>
      </c>
      <c r="C323" s="36">
        <v>245</v>
      </c>
      <c r="D323" s="26">
        <f>3785+19</f>
        <v>3804</v>
      </c>
      <c r="E323" s="25"/>
      <c r="F323" s="26">
        <f>522+8</f>
        <v>530</v>
      </c>
      <c r="G323" s="5"/>
    </row>
    <row r="324" spans="1:7" ht="15.75" hidden="1">
      <c r="A324" s="17" t="s">
        <v>67</v>
      </c>
      <c r="B324" s="31">
        <v>3685</v>
      </c>
      <c r="C324" s="36">
        <v>275</v>
      </c>
      <c r="D324" s="26">
        <v>3121</v>
      </c>
      <c r="E324" s="25"/>
      <c r="F324" s="26">
        <v>342</v>
      </c>
      <c r="G324" s="5"/>
    </row>
    <row r="325" spans="1:7" ht="15.75" hidden="1">
      <c r="A325" s="17" t="s">
        <v>57</v>
      </c>
      <c r="B325" s="31">
        <v>3161</v>
      </c>
      <c r="C325" s="36">
        <v>304</v>
      </c>
      <c r="D325" s="26">
        <v>2757</v>
      </c>
      <c r="E325" s="25"/>
      <c r="F325" s="26">
        <v>296</v>
      </c>
      <c r="G325" s="5"/>
    </row>
    <row r="326" spans="1:7" ht="15.75" hidden="1">
      <c r="A326" s="17" t="s">
        <v>68</v>
      </c>
      <c r="B326" s="31">
        <v>2848</v>
      </c>
      <c r="C326" s="36">
        <v>300</v>
      </c>
      <c r="D326" s="26">
        <v>2696</v>
      </c>
      <c r="E326" s="25"/>
      <c r="F326" s="26">
        <v>380</v>
      </c>
      <c r="G326" s="5"/>
    </row>
    <row r="327" spans="1:7" ht="15.75" hidden="1">
      <c r="A327" s="17" t="s">
        <v>27</v>
      </c>
      <c r="B327" s="31">
        <v>2682</v>
      </c>
      <c r="C327" s="36">
        <v>230</v>
      </c>
      <c r="D327" s="26">
        <v>2129</v>
      </c>
      <c r="E327" s="25"/>
      <c r="F327" s="26">
        <v>570</v>
      </c>
      <c r="G327" s="5"/>
    </row>
    <row r="328" spans="1:7" ht="15.75" hidden="1">
      <c r="A328" s="17"/>
      <c r="B328" s="31"/>
      <c r="C328" s="36"/>
      <c r="D328" s="26"/>
      <c r="E328" s="25"/>
      <c r="F328" s="26"/>
      <c r="G328" s="5"/>
    </row>
    <row r="329" spans="1:7" ht="15.75" hidden="1">
      <c r="A329" s="29" t="s">
        <v>72</v>
      </c>
      <c r="B329" s="31"/>
      <c r="C329" s="36"/>
      <c r="D329" s="26"/>
      <c r="E329" s="25"/>
      <c r="F329" s="26"/>
      <c r="G329" s="5"/>
    </row>
    <row r="330" spans="1:7" ht="15.75" hidden="1">
      <c r="A330" s="17" t="s">
        <v>29</v>
      </c>
      <c r="B330" s="31">
        <f>2712+13</f>
        <v>2725</v>
      </c>
      <c r="C330" s="36">
        <v>258</v>
      </c>
      <c r="D330" s="26">
        <f>2352+7</f>
        <v>2359</v>
      </c>
      <c r="E330" s="25"/>
      <c r="F330" s="26">
        <f>342+1</f>
        <v>343</v>
      </c>
      <c r="G330" s="5"/>
    </row>
    <row r="331" spans="1:7" ht="15.75" hidden="1">
      <c r="A331" s="17" t="s">
        <v>30</v>
      </c>
      <c r="B331" s="31">
        <f>2257+11</f>
        <v>2268</v>
      </c>
      <c r="C331" s="36">
        <v>234</v>
      </c>
      <c r="D331" s="26">
        <f>2437+7</f>
        <v>2444</v>
      </c>
      <c r="E331" s="25"/>
      <c r="F331" s="26">
        <f>455+1</f>
        <v>456</v>
      </c>
      <c r="G331" s="5"/>
    </row>
    <row r="332" spans="1:7" ht="15.75" hidden="1">
      <c r="A332" s="17" t="s">
        <v>31</v>
      </c>
      <c r="B332" s="31">
        <f>2344+12</f>
        <v>2356</v>
      </c>
      <c r="C332" s="36">
        <f>360+1</f>
        <v>361</v>
      </c>
      <c r="D332" s="26">
        <f>2902+9</f>
        <v>2911</v>
      </c>
      <c r="E332" s="25"/>
      <c r="F332" s="26">
        <f>380+1</f>
        <v>381</v>
      </c>
      <c r="G332" s="5"/>
    </row>
    <row r="333" spans="1:7" ht="15.75" hidden="1">
      <c r="A333" s="17" t="s">
        <v>19</v>
      </c>
      <c r="B333" s="31">
        <f>2912+11</f>
        <v>2923</v>
      </c>
      <c r="C333" s="36">
        <v>280</v>
      </c>
      <c r="D333" s="26">
        <f>2504+8</f>
        <v>2512</v>
      </c>
      <c r="E333" s="25"/>
      <c r="F333" s="26">
        <f>493+1</f>
        <v>494</v>
      </c>
      <c r="G333" s="5"/>
    </row>
    <row r="334" spans="1:7" ht="15.75" hidden="1">
      <c r="A334" s="17" t="s">
        <v>20</v>
      </c>
      <c r="B334" s="31">
        <v>3066</v>
      </c>
      <c r="C334" s="36">
        <v>233</v>
      </c>
      <c r="D334" s="26">
        <v>2583</v>
      </c>
      <c r="E334" s="25"/>
      <c r="F334" s="26">
        <v>438</v>
      </c>
      <c r="G334" s="5"/>
    </row>
    <row r="335" spans="1:7" ht="15.75" hidden="1">
      <c r="A335" s="17" t="s">
        <v>21</v>
      </c>
      <c r="B335" s="31">
        <f>3023-25</f>
        <v>2998</v>
      </c>
      <c r="C335" s="36">
        <f>277-21</f>
        <v>256</v>
      </c>
      <c r="D335" s="26">
        <f>2657-48</f>
        <v>2609</v>
      </c>
      <c r="E335" s="25"/>
      <c r="F335" s="26">
        <f>620-15</f>
        <v>605</v>
      </c>
      <c r="G335" s="5"/>
    </row>
    <row r="336" spans="1:7" ht="15.75" hidden="1">
      <c r="A336" s="17" t="s">
        <v>22</v>
      </c>
      <c r="B336" s="31">
        <f>3844+19</f>
        <v>3863</v>
      </c>
      <c r="C336" s="36">
        <f>324+2</f>
        <v>326</v>
      </c>
      <c r="D336" s="26">
        <f>3186+3</f>
        <v>3189</v>
      </c>
      <c r="E336" s="25"/>
      <c r="F336" s="26">
        <v>395</v>
      </c>
      <c r="G336" s="5"/>
    </row>
    <row r="337" spans="1:7" ht="15.75" hidden="1">
      <c r="A337" s="17" t="s">
        <v>23</v>
      </c>
      <c r="B337" s="31">
        <f>5783+29</f>
        <v>5812</v>
      </c>
      <c r="C337" s="36">
        <f>351+1</f>
        <v>352</v>
      </c>
      <c r="D337" s="36">
        <v>4450</v>
      </c>
      <c r="E337" s="25"/>
      <c r="F337" s="26">
        <f>633+3</f>
        <v>636</v>
      </c>
      <c r="G337" s="5"/>
    </row>
    <row r="338" spans="1:7" ht="15.75" hidden="1">
      <c r="A338" s="17" t="s">
        <v>67</v>
      </c>
      <c r="B338" s="31">
        <f>3340+16</f>
        <v>3356</v>
      </c>
      <c r="C338" s="36">
        <f>288+2</f>
        <v>290</v>
      </c>
      <c r="D338" s="36">
        <f>2440+12</f>
        <v>2452</v>
      </c>
      <c r="E338" s="25"/>
      <c r="F338" s="26">
        <v>228</v>
      </c>
      <c r="G338" s="5"/>
    </row>
    <row r="339" spans="1:7" ht="15.75" hidden="1">
      <c r="A339" s="17" t="s">
        <v>57</v>
      </c>
      <c r="B339" s="31">
        <f>3352+16</f>
        <v>3368</v>
      </c>
      <c r="C339" s="36">
        <f>330+2+86</f>
        <v>418</v>
      </c>
      <c r="D339" s="36">
        <f>2262+11</f>
        <v>2273</v>
      </c>
      <c r="E339" s="25"/>
      <c r="F339" s="26">
        <f>304+2+86</f>
        <v>392</v>
      </c>
      <c r="G339" s="5"/>
    </row>
    <row r="340" spans="1:7" ht="15.75" hidden="1">
      <c r="A340" s="17" t="s">
        <v>68</v>
      </c>
      <c r="B340" s="31">
        <v>2556</v>
      </c>
      <c r="C340" s="36">
        <v>313</v>
      </c>
      <c r="D340" s="36">
        <v>1777</v>
      </c>
      <c r="E340" s="25"/>
      <c r="F340" s="26">
        <v>490</v>
      </c>
      <c r="G340" s="5"/>
    </row>
    <row r="341" spans="1:7" ht="15.75" hidden="1">
      <c r="A341" s="17" t="s">
        <v>27</v>
      </c>
      <c r="B341" s="31">
        <f>3538+26</f>
        <v>3564</v>
      </c>
      <c r="C341" s="36">
        <f>319+4</f>
        <v>323</v>
      </c>
      <c r="D341" s="36">
        <f>2185+11</f>
        <v>2196</v>
      </c>
      <c r="E341" s="25"/>
      <c r="F341" s="26">
        <f>428+1+4</f>
        <v>433</v>
      </c>
      <c r="G341" s="5"/>
    </row>
    <row r="342" spans="1:7" ht="15.75" hidden="1">
      <c r="A342" s="17"/>
      <c r="B342" s="31"/>
      <c r="C342" s="36"/>
      <c r="D342" s="36"/>
      <c r="E342" s="25"/>
      <c r="F342" s="26"/>
      <c r="G342" s="5"/>
    </row>
    <row r="343" spans="1:7" ht="15.75" hidden="1">
      <c r="A343" s="29" t="s">
        <v>76</v>
      </c>
      <c r="B343" s="31"/>
      <c r="C343" s="36"/>
      <c r="D343" s="36"/>
      <c r="E343" s="25"/>
      <c r="F343" s="26"/>
      <c r="G343" s="5"/>
    </row>
    <row r="344" spans="1:7" ht="15.75" hidden="1">
      <c r="A344" s="17" t="s">
        <v>29</v>
      </c>
      <c r="B344" s="31">
        <f>3136+16</f>
        <v>3152</v>
      </c>
      <c r="C344" s="36">
        <v>278</v>
      </c>
      <c r="D344" s="36">
        <f>2045+1</f>
        <v>2046</v>
      </c>
      <c r="E344" s="25"/>
      <c r="F344" s="26">
        <f>341+1</f>
        <v>342</v>
      </c>
      <c r="G344" s="5"/>
    </row>
    <row r="345" spans="1:7" ht="15.75" hidden="1">
      <c r="A345" s="17" t="s">
        <v>30</v>
      </c>
      <c r="B345" s="31">
        <f>2870+18</f>
        <v>2888</v>
      </c>
      <c r="C345" s="36">
        <f>275+3</f>
        <v>278</v>
      </c>
      <c r="D345" s="36">
        <f>2272-3</f>
        <v>2269</v>
      </c>
      <c r="E345" s="25"/>
      <c r="F345" s="26">
        <f>264-2</f>
        <v>262</v>
      </c>
      <c r="G345" s="5"/>
    </row>
    <row r="346" spans="1:7" ht="15.75" hidden="1">
      <c r="A346" s="17" t="s">
        <v>31</v>
      </c>
      <c r="B346" s="31">
        <f>2890+21</f>
        <v>2911</v>
      </c>
      <c r="C346" s="36">
        <f>208+1</f>
        <v>209</v>
      </c>
      <c r="D346" s="36">
        <f>2409+9</f>
        <v>2418</v>
      </c>
      <c r="E346" s="25"/>
      <c r="F346" s="26">
        <f>263+8</f>
        <v>271</v>
      </c>
      <c r="G346" s="5"/>
    </row>
    <row r="347" spans="1:7" ht="15.75" hidden="1">
      <c r="A347" s="17" t="s">
        <v>19</v>
      </c>
      <c r="B347" s="31">
        <f>3073+10</f>
        <v>3083</v>
      </c>
      <c r="C347" s="36">
        <f>214+0.03</f>
        <v>214.03</v>
      </c>
      <c r="D347" s="36">
        <f>2782+6</f>
        <v>2788</v>
      </c>
      <c r="E347" s="25"/>
      <c r="F347" s="26">
        <f>339+1</f>
        <v>340</v>
      </c>
      <c r="G347" s="5"/>
    </row>
    <row r="348" spans="1:7" ht="15.75" hidden="1">
      <c r="A348" s="17" t="s">
        <v>20</v>
      </c>
      <c r="B348" s="31">
        <f>2973+7</f>
        <v>2980</v>
      </c>
      <c r="C348" s="36">
        <f>135+2+0.25</f>
        <v>137.25</v>
      </c>
      <c r="D348" s="36">
        <f>3140+10</f>
        <v>3150</v>
      </c>
      <c r="E348" s="25"/>
      <c r="F348" s="26">
        <f>631+0.25</f>
        <v>631.25</v>
      </c>
      <c r="G348" s="5"/>
    </row>
    <row r="349" spans="1:7" ht="15.75" hidden="1">
      <c r="A349" s="53" t="s">
        <v>21</v>
      </c>
      <c r="B349" s="31">
        <f>3103+9</f>
        <v>3112</v>
      </c>
      <c r="C349" s="36">
        <f>87+0.3</f>
        <v>87.3</v>
      </c>
      <c r="D349" s="36">
        <f>2361+4</f>
        <v>2365</v>
      </c>
      <c r="E349" s="25"/>
      <c r="F349" s="26">
        <v>493</v>
      </c>
      <c r="G349" s="5"/>
    </row>
    <row r="350" spans="1:7" ht="15.75" hidden="1">
      <c r="A350" s="53" t="s">
        <v>22</v>
      </c>
      <c r="B350" s="36">
        <f>2945+7</f>
        <v>2952</v>
      </c>
      <c r="C350" s="36">
        <f>106+1</f>
        <v>107</v>
      </c>
      <c r="D350" s="36">
        <f>2586+0.2</f>
        <v>2586.2</v>
      </c>
      <c r="E350" s="25"/>
      <c r="F350" s="26">
        <f>688+1</f>
        <v>689</v>
      </c>
      <c r="G350" s="5"/>
    </row>
    <row r="351" spans="1:7" ht="15.75" hidden="1">
      <c r="A351" s="53" t="s">
        <v>23</v>
      </c>
      <c r="B351" s="31">
        <f>3259+3</f>
        <v>3262</v>
      </c>
      <c r="C351" s="36">
        <f>67+0.5</f>
        <v>67.5</v>
      </c>
      <c r="D351" s="36">
        <f>2738+2</f>
        <v>2740</v>
      </c>
      <c r="E351" s="25"/>
      <c r="F351" s="26">
        <f>706+6</f>
        <v>712</v>
      </c>
      <c r="G351" s="5"/>
    </row>
    <row r="352" spans="1:7" ht="15.75" hidden="1">
      <c r="A352" s="53" t="s">
        <v>67</v>
      </c>
      <c r="B352" s="31">
        <f>3293+5</f>
        <v>3298</v>
      </c>
      <c r="C352" s="36">
        <f>87+1</f>
        <v>88</v>
      </c>
      <c r="D352" s="36">
        <f>2677+11-8</f>
        <v>2680</v>
      </c>
      <c r="E352" s="25"/>
      <c r="F352" s="26">
        <v>482</v>
      </c>
      <c r="G352" s="5"/>
    </row>
    <row r="353" spans="1:7" ht="15.75" hidden="1">
      <c r="A353" s="53" t="s">
        <v>57</v>
      </c>
      <c r="B353" s="31">
        <f>3315+7-58</f>
        <v>3264</v>
      </c>
      <c r="C353" s="36">
        <f>60+0.6-6</f>
        <v>54.6</v>
      </c>
      <c r="D353" s="36">
        <f>3089+7-143</f>
        <v>2953</v>
      </c>
      <c r="E353" s="25"/>
      <c r="F353" s="26">
        <f>315+0-11</f>
        <v>304</v>
      </c>
      <c r="G353" s="5"/>
    </row>
    <row r="354" spans="1:7" ht="15.75" hidden="1">
      <c r="A354" s="53" t="s">
        <v>68</v>
      </c>
      <c r="B354" s="31">
        <f>2803+4-55</f>
        <v>2752</v>
      </c>
      <c r="C354" s="36">
        <f>8.4-0.1-1</f>
        <v>7.300000000000001</v>
      </c>
      <c r="D354" s="36">
        <v>2290</v>
      </c>
      <c r="E354" s="25"/>
      <c r="F354" s="26">
        <f>304+2+2</f>
        <v>308</v>
      </c>
      <c r="G354" s="5"/>
    </row>
    <row r="355" spans="1:7" ht="15.75" hidden="1">
      <c r="A355" s="53" t="s">
        <v>27</v>
      </c>
      <c r="B355" s="31">
        <f>3728+3-72</f>
        <v>3659</v>
      </c>
      <c r="C355" s="36">
        <f>38+0.9</f>
        <v>38.9</v>
      </c>
      <c r="D355" s="36">
        <f>2612-52</f>
        <v>2560</v>
      </c>
      <c r="E355" s="25"/>
      <c r="F355" s="26">
        <v>412</v>
      </c>
      <c r="G355" s="5"/>
    </row>
    <row r="356" spans="1:7" ht="15.75" hidden="1">
      <c r="A356" s="17"/>
      <c r="B356" s="31"/>
      <c r="C356" s="36"/>
      <c r="D356" s="36"/>
      <c r="E356" s="25"/>
      <c r="F356" s="26"/>
      <c r="G356" s="5"/>
    </row>
    <row r="357" spans="1:7" ht="15.75">
      <c r="A357" s="29" t="s">
        <v>77</v>
      </c>
      <c r="B357" s="31"/>
      <c r="C357" s="36"/>
      <c r="D357" s="36"/>
      <c r="E357" s="25"/>
      <c r="F357" s="26"/>
      <c r="G357" s="5"/>
    </row>
    <row r="358" spans="1:7" ht="15.75" hidden="1">
      <c r="A358" s="53" t="s">
        <v>29</v>
      </c>
      <c r="B358" s="31">
        <f>2755+1</f>
        <v>2756</v>
      </c>
      <c r="C358" s="36">
        <v>0</v>
      </c>
      <c r="D358" s="36">
        <f>2264+5</f>
        <v>2269</v>
      </c>
      <c r="E358" s="25"/>
      <c r="F358" s="26">
        <f>550+1</f>
        <v>551</v>
      </c>
      <c r="G358" s="5"/>
    </row>
    <row r="359" spans="1:7" ht="15.75" hidden="1">
      <c r="A359" s="53" t="s">
        <v>30</v>
      </c>
      <c r="B359" s="31">
        <f>2716+5-78</f>
        <v>2643</v>
      </c>
      <c r="C359" s="36">
        <f>34-3</f>
        <v>31</v>
      </c>
      <c r="D359" s="36">
        <f>2139+5-38</f>
        <v>2106</v>
      </c>
      <c r="E359" s="25"/>
      <c r="F359" s="26">
        <f>400+3</f>
        <v>403</v>
      </c>
      <c r="G359" s="5"/>
    </row>
    <row r="360" spans="1:7" ht="15.75" hidden="1">
      <c r="A360" s="53" t="s">
        <v>31</v>
      </c>
      <c r="B360" s="31">
        <f>2473+6</f>
        <v>2479</v>
      </c>
      <c r="C360" s="36">
        <v>59</v>
      </c>
      <c r="D360" s="36">
        <f>2209+4</f>
        <v>2213</v>
      </c>
      <c r="E360" s="25"/>
      <c r="F360" s="26">
        <v>302</v>
      </c>
      <c r="G360" s="5"/>
    </row>
    <row r="361" spans="1:7" ht="15.75" hidden="1">
      <c r="A361" s="53" t="s">
        <v>19</v>
      </c>
      <c r="B361" s="31">
        <v>1964</v>
      </c>
      <c r="C361" s="36">
        <v>20</v>
      </c>
      <c r="D361" s="36">
        <f>1884</f>
        <v>1884</v>
      </c>
      <c r="E361" s="25"/>
      <c r="F361" s="26">
        <v>377</v>
      </c>
      <c r="G361" s="5"/>
    </row>
    <row r="362" spans="1:7" ht="15.75" hidden="1">
      <c r="A362" s="53" t="s">
        <v>20</v>
      </c>
      <c r="B362" s="31">
        <v>1517</v>
      </c>
      <c r="C362" s="36">
        <v>26</v>
      </c>
      <c r="D362" s="36">
        <v>1322</v>
      </c>
      <c r="E362" s="25"/>
      <c r="F362" s="26">
        <v>293</v>
      </c>
      <c r="G362" s="5"/>
    </row>
    <row r="363" spans="1:7" ht="15.75" hidden="1">
      <c r="A363" s="53" t="s">
        <v>21</v>
      </c>
      <c r="B363" s="31">
        <f>2823+1</f>
        <v>2824</v>
      </c>
      <c r="C363" s="36">
        <v>28</v>
      </c>
      <c r="D363" s="36">
        <f>1840-3</f>
        <v>1837</v>
      </c>
      <c r="E363" s="25"/>
      <c r="F363" s="26">
        <f>361+3</f>
        <v>364</v>
      </c>
      <c r="G363" s="5"/>
    </row>
    <row r="364" spans="1:7" ht="15.75" hidden="1">
      <c r="A364" s="53" t="s">
        <v>22</v>
      </c>
      <c r="B364" s="31">
        <f>2403+2</f>
        <v>2405</v>
      </c>
      <c r="C364" s="36">
        <v>34</v>
      </c>
      <c r="D364" s="36">
        <f>1751-3</f>
        <v>1748</v>
      </c>
      <c r="E364" s="25"/>
      <c r="F364" s="26">
        <f>216-1</f>
        <v>215</v>
      </c>
      <c r="G364" s="5"/>
    </row>
    <row r="365" spans="1:7" ht="15.75" hidden="1">
      <c r="A365" s="53" t="s">
        <v>23</v>
      </c>
      <c r="B365" s="31">
        <f>2721+1</f>
        <v>2722</v>
      </c>
      <c r="C365" s="36">
        <v>40</v>
      </c>
      <c r="D365" s="36">
        <f>1601+4</f>
        <v>1605</v>
      </c>
      <c r="E365" s="25"/>
      <c r="F365" s="26">
        <v>188</v>
      </c>
      <c r="G365" s="5"/>
    </row>
    <row r="366" spans="1:7" ht="15.75" hidden="1">
      <c r="A366" s="53" t="s">
        <v>67</v>
      </c>
      <c r="B366" s="36">
        <f>2945+1</f>
        <v>2946</v>
      </c>
      <c r="C366" s="36">
        <v>80</v>
      </c>
      <c r="D366" s="36">
        <f>2147+4</f>
        <v>2151</v>
      </c>
      <c r="E366" s="25"/>
      <c r="F366" s="26">
        <v>263</v>
      </c>
      <c r="G366" s="5"/>
    </row>
    <row r="367" spans="1:7" ht="15.75" hidden="1">
      <c r="A367" s="53" t="s">
        <v>57</v>
      </c>
      <c r="B367" s="31">
        <f>2884+4</f>
        <v>2888</v>
      </c>
      <c r="C367" s="36">
        <v>67</v>
      </c>
      <c r="D367" s="36">
        <f>1932+4</f>
        <v>1936</v>
      </c>
      <c r="E367" s="25"/>
      <c r="F367" s="26">
        <f>227+2</f>
        <v>229</v>
      </c>
      <c r="G367" s="5"/>
    </row>
    <row r="368" spans="1:7" ht="15.75" hidden="1">
      <c r="A368" s="53" t="s">
        <v>68</v>
      </c>
      <c r="B368" s="31">
        <f>3295+6</f>
        <v>3301</v>
      </c>
      <c r="C368" s="36">
        <v>58</v>
      </c>
      <c r="D368" s="36">
        <f>1996+3</f>
        <v>1999</v>
      </c>
      <c r="E368" s="25"/>
      <c r="F368" s="26">
        <v>227</v>
      </c>
      <c r="G368" s="5"/>
    </row>
    <row r="369" spans="1:7" ht="15.75">
      <c r="A369" s="53" t="s">
        <v>27</v>
      </c>
      <c r="B369" s="31">
        <f>3124+3-35</f>
        <v>3092</v>
      </c>
      <c r="C369" s="36">
        <v>67</v>
      </c>
      <c r="D369" s="36">
        <f>2057-5</f>
        <v>2052</v>
      </c>
      <c r="E369" s="25"/>
      <c r="F369" s="26">
        <v>76</v>
      </c>
      <c r="G369" s="5"/>
    </row>
    <row r="370" spans="1:7" ht="15.75">
      <c r="A370" s="17"/>
      <c r="B370" s="31"/>
      <c r="C370" s="36"/>
      <c r="D370" s="36"/>
      <c r="E370" s="25"/>
      <c r="F370" s="26"/>
      <c r="G370" s="5"/>
    </row>
    <row r="371" spans="1:7" ht="15.75">
      <c r="A371" s="29" t="s">
        <v>78</v>
      </c>
      <c r="B371" s="31"/>
      <c r="C371" s="36"/>
      <c r="D371" s="36"/>
      <c r="E371" s="25"/>
      <c r="F371" s="26"/>
      <c r="G371" s="5"/>
    </row>
    <row r="372" spans="1:7" ht="15.75">
      <c r="A372" s="53" t="s">
        <v>29</v>
      </c>
      <c r="B372" s="31">
        <f>2763+5</f>
        <v>2768</v>
      </c>
      <c r="C372" s="36">
        <v>30</v>
      </c>
      <c r="D372" s="36">
        <v>1207</v>
      </c>
      <c r="E372" s="25"/>
      <c r="F372" s="26">
        <v>189</v>
      </c>
      <c r="G372" s="5"/>
    </row>
    <row r="373" spans="1:7" ht="15.75">
      <c r="A373" s="53" t="s">
        <v>30</v>
      </c>
      <c r="B373" s="31">
        <f>1613+5</f>
        <v>1618</v>
      </c>
      <c r="C373" s="36">
        <v>48</v>
      </c>
      <c r="D373" s="36">
        <v>1657</v>
      </c>
      <c r="E373" s="25"/>
      <c r="F373" s="26">
        <v>190</v>
      </c>
      <c r="G373" s="5"/>
    </row>
    <row r="374" spans="1:7" ht="15.75">
      <c r="A374" s="53" t="s">
        <v>31</v>
      </c>
      <c r="B374" s="31">
        <f>2504+3</f>
        <v>2507</v>
      </c>
      <c r="C374" s="36">
        <v>0</v>
      </c>
      <c r="D374" s="36">
        <v>2156</v>
      </c>
      <c r="E374" s="25"/>
      <c r="F374" s="26">
        <v>179</v>
      </c>
      <c r="G374" s="5"/>
    </row>
    <row r="375" spans="1:7" ht="15.75">
      <c r="A375" s="53" t="s">
        <v>19</v>
      </c>
      <c r="B375" s="31">
        <f>1166+10</f>
        <v>1176</v>
      </c>
      <c r="C375" s="36">
        <v>55</v>
      </c>
      <c r="D375" s="36">
        <v>1037</v>
      </c>
      <c r="E375" s="25"/>
      <c r="F375" s="26">
        <f>301+2</f>
        <v>303</v>
      </c>
      <c r="G375" s="5"/>
    </row>
    <row r="376" spans="1:7" ht="15.75">
      <c r="A376" s="53" t="s">
        <v>20</v>
      </c>
      <c r="B376" s="31">
        <f>432+7</f>
        <v>439</v>
      </c>
      <c r="C376" s="36">
        <v>27</v>
      </c>
      <c r="D376" s="36">
        <v>716</v>
      </c>
      <c r="E376" s="25"/>
      <c r="F376" s="26">
        <v>108</v>
      </c>
      <c r="G376" s="5"/>
    </row>
    <row r="377" spans="1:7" ht="15.75">
      <c r="A377" s="53" t="s">
        <v>21</v>
      </c>
      <c r="B377" s="31">
        <f>1044+2</f>
        <v>1046</v>
      </c>
      <c r="C377" s="36">
        <v>39</v>
      </c>
      <c r="D377" s="36">
        <f>743+2</f>
        <v>745</v>
      </c>
      <c r="E377" s="25"/>
      <c r="F377" s="26">
        <v>189</v>
      </c>
      <c r="G377" s="5"/>
    </row>
    <row r="378" spans="1:7" ht="15.75">
      <c r="A378" s="53" t="s">
        <v>22</v>
      </c>
      <c r="B378" s="31">
        <f>1498+2</f>
        <v>1500</v>
      </c>
      <c r="C378" s="36">
        <v>16</v>
      </c>
      <c r="D378" s="36">
        <f>1288-2</f>
        <v>1286</v>
      </c>
      <c r="E378" s="25"/>
      <c r="F378" s="26">
        <v>229</v>
      </c>
      <c r="G378" s="5"/>
    </row>
    <row r="379" spans="1:7" ht="15.75">
      <c r="A379" s="53" t="s">
        <v>23</v>
      </c>
      <c r="B379" s="31">
        <f>2283+7</f>
        <v>2290</v>
      </c>
      <c r="C379" s="36">
        <v>40</v>
      </c>
      <c r="D379" s="36">
        <f>1998-5</f>
        <v>1993</v>
      </c>
      <c r="E379" s="25"/>
      <c r="F379" s="26">
        <v>102</v>
      </c>
      <c r="G379" s="5"/>
    </row>
    <row r="380" spans="1:7" ht="15.75">
      <c r="A380" s="53" t="s">
        <v>67</v>
      </c>
      <c r="B380" s="31">
        <f>2790-1</f>
        <v>2789</v>
      </c>
      <c r="C380" s="36">
        <v>3</v>
      </c>
      <c r="D380" s="36">
        <f>2466-5</f>
        <v>2461</v>
      </c>
      <c r="E380" s="25"/>
      <c r="F380" s="26">
        <f>179-1</f>
        <v>178</v>
      </c>
      <c r="G380" s="5"/>
    </row>
    <row r="381" spans="1:7" ht="15.75">
      <c r="A381" s="53" t="s">
        <v>57</v>
      </c>
      <c r="B381" s="31">
        <f>1915+9</f>
        <v>1924</v>
      </c>
      <c r="C381" s="36">
        <v>28</v>
      </c>
      <c r="D381" s="36">
        <f>1695-4</f>
        <v>1691</v>
      </c>
      <c r="E381" s="25"/>
      <c r="F381" s="26">
        <v>113</v>
      </c>
      <c r="G381" s="5"/>
    </row>
    <row r="382" spans="1:7" ht="15.75">
      <c r="A382" s="53" t="s">
        <v>68</v>
      </c>
      <c r="B382" s="31">
        <f>2823+8</f>
        <v>2831</v>
      </c>
      <c r="C382" s="36">
        <v>5</v>
      </c>
      <c r="D382" s="36">
        <f>2180-4</f>
        <v>2176</v>
      </c>
      <c r="E382" s="25"/>
      <c r="F382" s="26">
        <v>110</v>
      </c>
      <c r="G382" s="5"/>
    </row>
    <row r="383" spans="1:7" ht="15.75">
      <c r="A383" s="53" t="s">
        <v>27</v>
      </c>
      <c r="B383" s="31">
        <f>2446+8</f>
        <v>2454</v>
      </c>
      <c r="C383" s="36">
        <v>45</v>
      </c>
      <c r="D383" s="36">
        <f>2360-2</f>
        <v>2358</v>
      </c>
      <c r="E383" s="25"/>
      <c r="F383" s="26">
        <v>76</v>
      </c>
      <c r="G383" s="5"/>
    </row>
    <row r="384" spans="1:7" ht="15.75">
      <c r="A384" s="53"/>
      <c r="B384" s="31"/>
      <c r="C384" s="36"/>
      <c r="D384" s="36"/>
      <c r="E384" s="25"/>
      <c r="F384" s="26"/>
      <c r="G384" s="5"/>
    </row>
    <row r="385" spans="1:7" ht="15.75">
      <c r="A385" s="29" t="s">
        <v>79</v>
      </c>
      <c r="B385" s="31"/>
      <c r="C385" s="36"/>
      <c r="D385" s="36"/>
      <c r="E385" s="25"/>
      <c r="F385" s="26"/>
      <c r="G385" s="5"/>
    </row>
    <row r="386" spans="1:7" ht="15.75">
      <c r="A386" s="53" t="s">
        <v>29</v>
      </c>
      <c r="B386" s="31">
        <f>2441+11-40</f>
        <v>2412</v>
      </c>
      <c r="C386" s="36">
        <f>19+1</f>
        <v>20</v>
      </c>
      <c r="D386" s="36">
        <f>1881-3</f>
        <v>1878</v>
      </c>
      <c r="E386" s="25"/>
      <c r="F386" s="26">
        <f>113+1</f>
        <v>114</v>
      </c>
      <c r="G386" s="5"/>
    </row>
    <row r="387" spans="1:7" ht="15.75">
      <c r="A387" s="53" t="s">
        <v>30</v>
      </c>
      <c r="B387" s="31">
        <f>1924+14</f>
        <v>1938</v>
      </c>
      <c r="C387" s="36">
        <f>17+1</f>
        <v>18</v>
      </c>
      <c r="D387" s="36">
        <v>1527</v>
      </c>
      <c r="E387" s="25"/>
      <c r="F387" s="26">
        <v>186</v>
      </c>
      <c r="G387" s="5"/>
    </row>
    <row r="388" spans="1:7" ht="15.75">
      <c r="A388" s="53" t="s">
        <v>31</v>
      </c>
      <c r="B388" s="31">
        <f>3226+15</f>
        <v>3241</v>
      </c>
      <c r="C388" s="36">
        <f>34+1</f>
        <v>35</v>
      </c>
      <c r="D388" s="36">
        <v>2673</v>
      </c>
      <c r="E388" s="25"/>
      <c r="F388" s="26">
        <f>151+3</f>
        <v>154</v>
      </c>
      <c r="G388" s="5"/>
    </row>
    <row r="389" spans="1:7" ht="15.75">
      <c r="A389" s="53" t="s">
        <v>19</v>
      </c>
      <c r="B389" s="31">
        <f>3180+13</f>
        <v>3193</v>
      </c>
      <c r="C389" s="36">
        <f>42-2</f>
        <v>40</v>
      </c>
      <c r="D389" s="36">
        <f>3540-4</f>
        <v>3536</v>
      </c>
      <c r="E389" s="25"/>
      <c r="F389" s="26">
        <f>75-3</f>
        <v>72</v>
      </c>
      <c r="G389" s="5"/>
    </row>
    <row r="390" spans="1:7" ht="15.75">
      <c r="A390" s="53" t="s">
        <v>20</v>
      </c>
      <c r="B390" s="31">
        <f>3255+8</f>
        <v>3263</v>
      </c>
      <c r="C390" s="36">
        <f>19+1</f>
        <v>20</v>
      </c>
      <c r="D390" s="36">
        <f>2896+4</f>
        <v>2900</v>
      </c>
      <c r="E390" s="25"/>
      <c r="F390" s="26">
        <v>226</v>
      </c>
      <c r="G390" s="5"/>
    </row>
    <row r="391" spans="1:7" ht="15.75">
      <c r="A391" s="53" t="s">
        <v>21</v>
      </c>
      <c r="B391" s="31">
        <f>3288+5-4</f>
        <v>3289</v>
      </c>
      <c r="C391" s="36">
        <v>26</v>
      </c>
      <c r="D391" s="36">
        <v>3771</v>
      </c>
      <c r="E391" s="25"/>
      <c r="F391" s="26">
        <f>301-2</f>
        <v>299</v>
      </c>
      <c r="G391" s="5"/>
    </row>
    <row r="392" spans="1:7" ht="15.75">
      <c r="A392" s="53" t="s">
        <v>22</v>
      </c>
      <c r="B392" s="31">
        <f>2178+14-208</f>
        <v>1984</v>
      </c>
      <c r="C392" s="36">
        <v>48</v>
      </c>
      <c r="D392" s="36">
        <f>3384+3</f>
        <v>3387</v>
      </c>
      <c r="E392" s="25"/>
      <c r="F392" s="26">
        <f>465+2</f>
        <v>467</v>
      </c>
      <c r="G392" s="5"/>
    </row>
    <row r="393" spans="1:7" ht="15.75">
      <c r="A393" s="53" t="s">
        <v>23</v>
      </c>
      <c r="B393" s="31">
        <f>4271+2-165</f>
        <v>4108</v>
      </c>
      <c r="C393" s="36">
        <v>42</v>
      </c>
      <c r="D393" s="36">
        <f>4269</f>
        <v>4269</v>
      </c>
      <c r="E393" s="25"/>
      <c r="F393" s="26">
        <f>226+1</f>
        <v>227</v>
      </c>
      <c r="G393" s="5"/>
    </row>
    <row r="394" spans="1:7" ht="15.75">
      <c r="A394" s="53" t="s">
        <v>67</v>
      </c>
      <c r="B394" s="31">
        <f>2696+8-243</f>
        <v>2461</v>
      </c>
      <c r="C394" s="36">
        <v>34</v>
      </c>
      <c r="D394" s="36">
        <f>4709-1</f>
        <v>4708</v>
      </c>
      <c r="E394" s="25"/>
      <c r="F394" s="26">
        <f>490+2</f>
        <v>492</v>
      </c>
      <c r="G394" s="5"/>
    </row>
    <row r="395" spans="1:7" ht="15.75">
      <c r="A395" s="53" t="s">
        <v>57</v>
      </c>
      <c r="B395" s="31">
        <f>3547+1</f>
        <v>3548</v>
      </c>
      <c r="C395" s="36">
        <v>29</v>
      </c>
      <c r="D395" s="36">
        <v>5536</v>
      </c>
      <c r="E395" s="25"/>
      <c r="F395" s="26">
        <f>658+1</f>
        <v>659</v>
      </c>
      <c r="G395" s="5"/>
    </row>
    <row r="396" spans="1:7" ht="15.75">
      <c r="A396" s="53" t="s">
        <v>68</v>
      </c>
      <c r="B396" s="31">
        <f>3421+1</f>
        <v>3422</v>
      </c>
      <c r="C396" s="36">
        <v>23</v>
      </c>
      <c r="D396" s="36">
        <f>6277-4</f>
        <v>6273</v>
      </c>
      <c r="E396" s="25"/>
      <c r="F396" s="26">
        <f>566+1</f>
        <v>567</v>
      </c>
      <c r="G396" s="5"/>
    </row>
    <row r="397" spans="1:7" ht="15.75">
      <c r="A397" s="53" t="s">
        <v>27</v>
      </c>
      <c r="B397" s="31">
        <f>4219+2</f>
        <v>4221</v>
      </c>
      <c r="C397" s="36">
        <v>16</v>
      </c>
      <c r="D397" s="36">
        <f>6740-17</f>
        <v>6723</v>
      </c>
      <c r="E397" s="25"/>
      <c r="F397" s="26">
        <f>188+1</f>
        <v>189</v>
      </c>
      <c r="G397" s="5"/>
    </row>
    <row r="398" spans="1:7" ht="15.75">
      <c r="A398" s="17"/>
      <c r="B398" s="31"/>
      <c r="C398" s="36"/>
      <c r="D398" s="36"/>
      <c r="E398" s="44"/>
      <c r="F398" s="26"/>
      <c r="G398" s="5"/>
    </row>
    <row r="399" spans="1:6" ht="15.75">
      <c r="A399" s="7"/>
      <c r="B399" s="8"/>
      <c r="C399" s="8"/>
      <c r="D399" s="8"/>
      <c r="E399" s="45"/>
      <c r="F399" s="46"/>
    </row>
    <row r="400" spans="1:6" ht="15.75">
      <c r="A400" s="10" t="s">
        <v>54</v>
      </c>
      <c r="B400" s="11"/>
      <c r="C400" s="11"/>
      <c r="D400" s="11"/>
      <c r="E400" s="11"/>
      <c r="F400" s="47"/>
    </row>
    <row r="401" spans="1:6" ht="15.75" hidden="1">
      <c r="A401" s="48" t="s">
        <v>63</v>
      </c>
      <c r="B401" s="11"/>
      <c r="C401" s="11"/>
      <c r="D401" s="11"/>
      <c r="E401" s="11"/>
      <c r="F401" s="13"/>
    </row>
    <row r="402" spans="1:6" ht="15.75" hidden="1">
      <c r="A402" s="48" t="s">
        <v>59</v>
      </c>
      <c r="B402" s="11"/>
      <c r="C402" s="11"/>
      <c r="D402" s="11"/>
      <c r="E402" s="11"/>
      <c r="F402" s="13"/>
    </row>
    <row r="403" spans="1:6" ht="15.75">
      <c r="A403" s="10"/>
      <c r="B403" s="11"/>
      <c r="C403" s="11"/>
      <c r="D403" s="11"/>
      <c r="E403" s="11"/>
      <c r="F403" s="13"/>
    </row>
    <row r="404" spans="1:6" ht="15.75">
      <c r="A404" s="56" t="s">
        <v>37</v>
      </c>
      <c r="B404" s="11"/>
      <c r="C404" s="11"/>
      <c r="D404" s="11"/>
      <c r="E404" s="11"/>
      <c r="F404" s="13"/>
    </row>
    <row r="405" spans="1:6" ht="15.75">
      <c r="A405" s="49"/>
      <c r="B405" s="50"/>
      <c r="C405" s="50"/>
      <c r="D405" s="15"/>
      <c r="E405" s="51"/>
      <c r="F405" s="52"/>
    </row>
    <row r="406" spans="2:6" ht="15.75">
      <c r="B406" s="2"/>
      <c r="C406" s="2"/>
      <c r="E406" s="1"/>
      <c r="F406" s="1"/>
    </row>
    <row r="407" spans="5:6" ht="15.75">
      <c r="E407" s="1"/>
      <c r="F407" s="1"/>
    </row>
  </sheetData>
  <sheetProtection/>
  <mergeCells count="2">
    <mergeCell ref="A4:F4"/>
    <mergeCell ref="A5:F5"/>
  </mergeCells>
  <printOptions/>
  <pageMargins left="1.220472440944882" right="0.5118110236220472" top="1.220472440944882" bottom="0.5118110236220472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2014-05-27T09:18:33Z</cp:lastPrinted>
  <dcterms:created xsi:type="dcterms:W3CDTF">2000-08-22T08:22:46Z</dcterms:created>
  <dcterms:modified xsi:type="dcterms:W3CDTF">2018-03-06T12:53:03Z</dcterms:modified>
  <cp:category/>
  <cp:version/>
  <cp:contentType/>
  <cp:contentStatus/>
</cp:coreProperties>
</file>